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August\"/>
    </mc:Choice>
  </mc:AlternateContent>
  <xr:revisionPtr revIDLastSave="0" documentId="13_ncr:1_{7D1C2F77-2226-4345-AB70-87AC1046FD71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5" i="9" l="1"/>
  <c r="AW54" i="9"/>
  <c r="AV55" i="9"/>
  <c r="AV54" i="9"/>
  <c r="AV51" i="9"/>
  <c r="AV50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34" i="9"/>
  <c r="AW14" i="9"/>
  <c r="AW30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V30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14" i="9"/>
  <c r="M56" i="9"/>
  <c r="M30" i="9"/>
  <c r="AL58" i="9"/>
  <c r="AQ58" i="9"/>
  <c r="M50" i="9"/>
  <c r="H58" i="9"/>
  <c r="I56" i="9"/>
  <c r="I51" i="9"/>
  <c r="I50" i="9"/>
  <c r="H50" i="9"/>
  <c r="I30" i="9"/>
  <c r="H30" i="9"/>
  <c r="H51" i="9" s="1"/>
  <c r="H56" i="9"/>
  <c r="AV56" i="9" l="1"/>
  <c r="M51" i="9"/>
  <c r="O56" i="1"/>
  <c r="I45" i="8" l="1"/>
  <c r="I30" i="2"/>
  <c r="W47" i="5" l="1"/>
  <c r="V47" i="5"/>
  <c r="Y47" i="5"/>
  <c r="X57" i="6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AX14" i="9"/>
  <c r="E7" i="9"/>
  <c r="E6" i="9"/>
  <c r="AW39" i="9"/>
  <c r="AW41" i="9"/>
  <c r="AW42" i="9"/>
  <c r="AQ55" i="9"/>
  <c r="AS55" i="9" s="1"/>
  <c r="AR55" i="9"/>
  <c r="AR54" i="9"/>
  <c r="AQ54" i="9"/>
  <c r="AQ35" i="9"/>
  <c r="AR35" i="9"/>
  <c r="AQ36" i="9"/>
  <c r="AR36" i="9"/>
  <c r="AQ37" i="9"/>
  <c r="AR37" i="9"/>
  <c r="AW37" i="9" s="1"/>
  <c r="AQ38" i="9"/>
  <c r="AR38" i="9"/>
  <c r="AQ39" i="9"/>
  <c r="AR39" i="9"/>
  <c r="AQ40" i="9"/>
  <c r="AR40" i="9"/>
  <c r="AQ41" i="9"/>
  <c r="AR41" i="9"/>
  <c r="AQ42" i="9"/>
  <c r="AR42" i="9"/>
  <c r="AQ43" i="9"/>
  <c r="AR43" i="9"/>
  <c r="AQ44" i="9"/>
  <c r="AR44" i="9"/>
  <c r="AQ45" i="9"/>
  <c r="AR45" i="9"/>
  <c r="AQ46" i="9"/>
  <c r="AR46" i="9"/>
  <c r="AW46" i="9" s="1"/>
  <c r="AQ47" i="9"/>
  <c r="AR47" i="9"/>
  <c r="AQ48" i="9"/>
  <c r="AR48" i="9"/>
  <c r="AQ49" i="9"/>
  <c r="AR49" i="9"/>
  <c r="AR34" i="9"/>
  <c r="AQ34" i="9"/>
  <c r="AQ15" i="9"/>
  <c r="AR15" i="9"/>
  <c r="AQ17" i="9"/>
  <c r="AR17" i="9"/>
  <c r="AQ18" i="9"/>
  <c r="AR18" i="9"/>
  <c r="AQ19" i="9"/>
  <c r="AR19" i="9"/>
  <c r="AQ20" i="9"/>
  <c r="AR20" i="9"/>
  <c r="AQ21" i="9"/>
  <c r="AR21" i="9"/>
  <c r="AQ22" i="9"/>
  <c r="AR22" i="9"/>
  <c r="AQ24" i="9"/>
  <c r="AR24" i="9"/>
  <c r="AQ25" i="9"/>
  <c r="AR25" i="9"/>
  <c r="AQ26" i="9"/>
  <c r="AR26" i="9"/>
  <c r="AQ27" i="9"/>
  <c r="AR27" i="9"/>
  <c r="AQ28" i="9"/>
  <c r="AR28" i="9"/>
  <c r="AQ29" i="9"/>
  <c r="AR29" i="9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C43" i="9"/>
  <c r="AB44" i="9"/>
  <c r="AC44" i="9"/>
  <c r="AB45" i="9"/>
  <c r="AC45" i="9"/>
  <c r="AB46" i="9"/>
  <c r="AC46" i="9"/>
  <c r="AB47" i="9"/>
  <c r="AC47" i="9"/>
  <c r="AB48" i="9"/>
  <c r="AC48" i="9"/>
  <c r="AW48" i="9" s="1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AF5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AW45" i="9" s="1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H14" i="9"/>
  <c r="AW40" i="9" l="1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N56" i="9" s="1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I56" i="9" l="1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M58" i="9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R56" i="8" l="1"/>
  <c r="M56" i="8"/>
  <c r="H56" i="8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N47" i="8" s="1"/>
  <c r="AK48" i="8"/>
  <c r="AL48" i="8"/>
  <c r="AM48" i="8"/>
  <c r="AN48" i="8" s="1"/>
  <c r="AK49" i="8"/>
  <c r="AM49" i="8"/>
  <c r="AM33" i="8"/>
  <c r="AK33" i="8"/>
  <c r="AK50" i="8" l="1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G50" i="1" l="1"/>
  <c r="G51" i="1" s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AL61" i="8" l="1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S63" i="8" s="1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S50" i="8"/>
  <c r="R50" i="8"/>
  <c r="Q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R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R51" i="8" l="1"/>
  <c r="R58" i="8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1" i="8"/>
  <c r="H58" i="8" s="1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AW38" i="9" s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H38" i="9" l="1"/>
  <c r="AV58" i="9" s="1"/>
  <c r="AV60" i="9" s="1"/>
  <c r="H50" i="1"/>
  <c r="H51" i="1" s="1"/>
  <c r="H58" i="1" s="1"/>
  <c r="AW50" i="9"/>
  <c r="AX38" i="9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AX50" i="9" l="1"/>
  <c r="AW51" i="9"/>
  <c r="AX51" i="9" s="1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Y53" i="6" l="1"/>
  <c r="X61" i="6"/>
  <c r="X66" i="6" s="1"/>
  <c r="Y66" i="6" s="1"/>
  <c r="X54" i="6"/>
  <c r="Y54" i="6" s="1"/>
  <c r="X53" i="5"/>
  <c r="Y53" i="5" s="1"/>
  <c r="X60" i="5"/>
  <c r="X65" i="5" s="1"/>
  <c r="Y65" i="5" s="1"/>
  <c r="Q52" i="3" l="1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M54" i="6" s="1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Y29" i="4" s="1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Y63" i="4" l="1"/>
  <c r="N54" i="6"/>
  <c r="S53" i="5"/>
  <c r="T53" i="5" s="1"/>
  <c r="Y29" i="7"/>
  <c r="AD30" i="5"/>
  <c r="Y31" i="4"/>
  <c r="Q53" i="3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O53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W57" i="3"/>
  <c r="M58" i="3"/>
  <c r="M60" i="3" s="1"/>
  <c r="M65" i="3" s="1"/>
  <c r="V57" i="3"/>
  <c r="AF55" i="9" s="1"/>
  <c r="AF56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B58" i="5" l="1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<sst xmlns="http://schemas.openxmlformats.org/spreadsheetml/2006/main" count="1521" uniqueCount="106">
  <si>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</si>
  <si>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</si>
  <si>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</si>
  <si>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</si>
  <si>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</si>
  <si>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</si>
  <si>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</si>
  <si>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</si>
  <si>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</si>
  <si>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</si>
  <si>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</si>
  <si>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</si>
  <si>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</si>
  <si>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</si>
  <si>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</si>
  <si>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</si>
  <si>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</si>
  <si>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</si>
  <si>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</si>
  <si>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</si>
  <si>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</si>
  <si>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</si>
  <si>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</si>
  <si>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</si>
  <si>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</si>
  <si>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</si>
  <si>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</si>
  <si>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</si>
  <si>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</si>
  <si>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</si>
  <si>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</si>
  <si>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</si>
  <si>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</si>
  <si>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</si>
  <si>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</si>
  <si>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</si>
  <si>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</si>
  <si>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</si>
  <si>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</si>
  <si>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</si>
  <si>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</si>
  <si>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</si>
  <si>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</si>
  <si>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</si>
  <si>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</si>
  <si>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</si>
  <si>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</si>
  <si>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</si>
  <si>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</si>
  <si>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</si>
  <si>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</si>
  <si>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</si>
  <si>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</si>
  <si>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</si>
  <si>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</si>
  <si>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</si>
  <si>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</si>
  <si>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</si>
  <si>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</si>
  <si>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</si>
  <si>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</si>
  <si>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</si>
  <si>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</si>
  <si>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</si>
  <si>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</si>
  <si>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</si>
  <si>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</si>
  <si>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</si>
  <si>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</si>
  <si>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</si>
  <si>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</si>
  <si>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</si>
  <si>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</si>
  <si>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</si>
  <si>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</si>
  <si>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</si>
  <si>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</si>
  <si>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</si>
  <si>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</si>
  <si>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</si>
  <si>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</si>
  <si>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For Month or Quarter Ended and For the Year Ending 7/31/2024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</si>
  <si>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</si>
  <si>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</si>
  <si>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</si>
  <si>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</si>
  <si>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</si>
  <si>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</si>
  <si>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</si>
  <si>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</si>
  <si>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</si>
  <si>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</si>
  <si>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</si>
  <si>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</si>
  <si>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</si>
  <si>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</si>
  <si>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</si>
  <si>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</si>
  <si>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</si>
  <si>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</si>
  <si>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</si>
  <si>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</si>
  <si>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</si>
  <si>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For Month or Quarter Ended and For the Year Ending 8/31/2024</t>
  </si>
  <si>
    <t>Page 13</t>
  </si>
  <si>
    <t>Page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</si>
</sst>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164" fontId="0" fillId="0" borderId="0" xfId="0" applyNumberFormat="1" applyFill="1" applyAlignment="1" applyProtection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abSelected="1" topLeftCell="D3" zoomScale="80" zoomScaleNormal="80" zoomScalePageLayoutView="50" workbookViewId="0">
      <selection activeCell="N25" sqref="N25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6" t="s">
        <v>50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45"/>
      <c r="B2" s="46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45"/>
      <c r="B3" s="46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45"/>
      <c r="B4" s="46"/>
      <c r="C4" s="126" t="s">
        <v>103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7" t="s">
        <v>5</v>
      </c>
      <c r="H9" s="128"/>
      <c r="I9" s="128"/>
      <c r="J9" s="129"/>
      <c r="K9" s="9"/>
      <c r="L9" s="127" t="s">
        <v>7</v>
      </c>
      <c r="M9" s="128"/>
      <c r="N9" s="128"/>
      <c r="O9" s="129"/>
      <c r="P9" s="9"/>
      <c r="Q9" s="127" t="s">
        <v>8</v>
      </c>
      <c r="R9" s="128"/>
      <c r="S9" s="128"/>
      <c r="T9" s="129"/>
      <c r="U9" s="9"/>
      <c r="V9" s="127" t="s">
        <v>9</v>
      </c>
      <c r="W9" s="128"/>
      <c r="X9" s="128"/>
      <c r="Y9" s="128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41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158950.04</v>
      </c>
      <c r="M15" s="19">
        <v>158950.04</v>
      </c>
      <c r="N15" s="19">
        <v>443225.91000000003</v>
      </c>
      <c r="O15" s="8">
        <f>IF(N15=0,"%",M15/N15)</f>
        <v>0.3586208216031414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158950.04</v>
      </c>
      <c r="W15" s="23">
        <f t="shared" si="1"/>
        <v>158950.04</v>
      </c>
      <c r="X15" s="23">
        <f t="shared" si="1"/>
        <v>443225.91000000003</v>
      </c>
      <c r="Y15" s="8">
        <f>IF(X15=0,"%",W15/X15)</f>
        <v>0.3586208216031414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77">
        <v>334483.84999999998</v>
      </c>
      <c r="H17" s="77">
        <v>670602.67000000004</v>
      </c>
      <c r="I17" s="77">
        <v>3697307</v>
      </c>
      <c r="J17" s="20">
        <f t="shared" si="2"/>
        <v>0.18137597716391959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334483.84999999998</v>
      </c>
      <c r="W17" s="23">
        <f t="shared" si="5"/>
        <v>670602.67000000004</v>
      </c>
      <c r="X17" s="23">
        <f t="shared" si="5"/>
        <v>3697307</v>
      </c>
      <c r="Y17" s="8">
        <f t="shared" ref="Y17:Y22" si="6">IF(X17=0,"%",W17/X17)</f>
        <v>0.18137597716391959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5704.36</v>
      </c>
      <c r="H19" s="19">
        <v>11408.72</v>
      </c>
      <c r="I19" s="19">
        <v>62748</v>
      </c>
      <c r="J19" s="20">
        <f t="shared" si="2"/>
        <v>0.18181806591445146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5704.36</v>
      </c>
      <c r="W19" s="23">
        <f t="shared" si="5"/>
        <v>11408.72</v>
      </c>
      <c r="X19" s="23">
        <f t="shared" si="5"/>
        <v>62748</v>
      </c>
      <c r="Y19" s="8">
        <f t="shared" si="6"/>
        <v>0.18181806591445146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50684.27</v>
      </c>
      <c r="H20" s="19">
        <v>101368.54</v>
      </c>
      <c r="I20" s="19">
        <v>557527</v>
      </c>
      <c r="J20" s="20">
        <f t="shared" si="2"/>
        <v>0.18181817203471759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50684.27</v>
      </c>
      <c r="W20" s="23">
        <f t="shared" si="5"/>
        <v>101368.54</v>
      </c>
      <c r="X20" s="23">
        <f t="shared" si="5"/>
        <v>557527</v>
      </c>
      <c r="Y20" s="8">
        <f t="shared" si="6"/>
        <v>0.18181817203471759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0</v>
      </c>
      <c r="H22" s="19">
        <v>8100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0</v>
      </c>
      <c r="W22" s="23">
        <f t="shared" si="5"/>
        <v>8100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39921.599999999999</v>
      </c>
      <c r="I25" s="19">
        <v>216133</v>
      </c>
      <c r="J25" s="20">
        <f t="shared" si="2"/>
        <v>0.18470848967996556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20273.150000000001</v>
      </c>
      <c r="W25" s="23">
        <f t="shared" si="9"/>
        <v>39921.599999999999</v>
      </c>
      <c r="X25" s="23">
        <f t="shared" si="9"/>
        <v>216133</v>
      </c>
      <c r="Y25" s="8">
        <f t="shared" si="10"/>
        <v>0.18470848967996556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2524.5</v>
      </c>
      <c r="R29" s="23">
        <v>2540.5</v>
      </c>
      <c r="S29" s="23">
        <v>0</v>
      </c>
      <c r="T29" s="8" t="str">
        <f t="shared" si="8"/>
        <v>%</v>
      </c>
      <c r="U29" s="29"/>
      <c r="V29" s="23">
        <f t="shared" si="9"/>
        <v>2524.5</v>
      </c>
      <c r="W29" s="23">
        <f t="shared" si="9"/>
        <v>2540.5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411145.63</v>
      </c>
      <c r="H30" s="57">
        <f>SUM(H14:H29)</f>
        <v>831401.53</v>
      </c>
      <c r="I30" s="57">
        <f>SUM(I14:I29)</f>
        <v>4753819</v>
      </c>
      <c r="J30" s="31">
        <f>IF(I30=0,"",H30/I30)</f>
        <v>0.1748912884567124</v>
      </c>
      <c r="K30" s="29"/>
      <c r="L30" s="57">
        <f>SUM(L14:L29)</f>
        <v>158950.04</v>
      </c>
      <c r="M30" s="57">
        <f>SUM(M14:M29)</f>
        <v>158950.04</v>
      </c>
      <c r="N30" s="57">
        <f>SUM(N14:N29)</f>
        <v>443225.91000000003</v>
      </c>
      <c r="O30" s="31">
        <f>IF(N30=0,"",M30/N30)</f>
        <v>0.3586208216031414</v>
      </c>
      <c r="P30" s="29"/>
      <c r="Q30" s="57">
        <f>SUM(Q14:Q29)</f>
        <v>2524.5</v>
      </c>
      <c r="R30" s="57">
        <f>SUM(R14:R29)</f>
        <v>2540.5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572620.17000000004</v>
      </c>
      <c r="W30" s="57">
        <f>SUM(W14:W29)</f>
        <v>992892.07000000007</v>
      </c>
      <c r="X30" s="57">
        <f>SUM(X14:X29)</f>
        <v>5197044.91</v>
      </c>
      <c r="Y30" s="31">
        <f>IF(X30=0,"",W30/X30)</f>
        <v>0.19104935346806537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244671.53000000003</v>
      </c>
      <c r="H34" s="19">
        <v>262679.65000000008</v>
      </c>
      <c r="I34" s="19">
        <v>3332046.25</v>
      </c>
      <c r="J34" s="8">
        <f t="shared" ref="J34:J49" si="11">IF(I34=0,"%",H34/I34)</f>
        <v>7.8834334907566209E-2</v>
      </c>
      <c r="K34" s="29"/>
      <c r="L34" s="19">
        <v>56067.39</v>
      </c>
      <c r="M34" s="19">
        <v>135486.17999999996</v>
      </c>
      <c r="N34" s="19">
        <v>187085.98</v>
      </c>
      <c r="O34" s="8">
        <f t="shared" ref="O34:O48" si="12">IF(N34=0,"%",M34/N34)</f>
        <v>0.72419205330084035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300738.92000000004</v>
      </c>
      <c r="W34" s="23">
        <f t="shared" ref="W34:W49" si="15">H34+M34+R34</f>
        <v>398165.83000000007</v>
      </c>
      <c r="X34" s="23">
        <f t="shared" ref="X34:X49" si="16">I34+N34+S34</f>
        <v>3519132.23</v>
      </c>
      <c r="Y34" s="8">
        <f t="shared" ref="Y34:Y48" si="17">IF(X34=0,"%",W34/X34)</f>
        <v>0.11314318530167879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11818.429999999998</v>
      </c>
      <c r="H35" s="19">
        <v>11960.429999999998</v>
      </c>
      <c r="I35" s="19">
        <v>159751.13</v>
      </c>
      <c r="J35" s="8">
        <f t="shared" si="11"/>
        <v>7.486914177070296E-2</v>
      </c>
      <c r="K35" s="29"/>
      <c r="L35" s="19">
        <v>23463.86</v>
      </c>
      <c r="M35" s="19">
        <v>23463.86</v>
      </c>
      <c r="N35" s="19">
        <v>256139.93</v>
      </c>
      <c r="O35" s="8">
        <f t="shared" si="12"/>
        <v>9.1605631343773697E-2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35282.29</v>
      </c>
      <c r="W35" s="23">
        <f t="shared" si="15"/>
        <v>35424.29</v>
      </c>
      <c r="X35" s="23">
        <f t="shared" si="16"/>
        <v>415891.06</v>
      </c>
      <c r="Y35" s="8">
        <f t="shared" si="17"/>
        <v>8.5176848956551268E-2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0</v>
      </c>
      <c r="I36" s="19">
        <v>13750</v>
      </c>
      <c r="J36" s="8">
        <f t="shared" si="11"/>
        <v>0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0</v>
      </c>
      <c r="W36" s="23">
        <f t="shared" si="15"/>
        <v>0</v>
      </c>
      <c r="X36" s="23">
        <f t="shared" si="16"/>
        <v>13750</v>
      </c>
      <c r="Y36" s="8">
        <f t="shared" si="17"/>
        <v>0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37356.94</v>
      </c>
      <c r="H38" s="19">
        <v>73717.98</v>
      </c>
      <c r="I38" s="19">
        <v>420309.52999999991</v>
      </c>
      <c r="J38" s="8">
        <f t="shared" si="11"/>
        <v>0.17538974193613932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37356.94</v>
      </c>
      <c r="W38" s="23">
        <f t="shared" si="15"/>
        <v>73717.98</v>
      </c>
      <c r="X38" s="23">
        <f t="shared" si="16"/>
        <v>420309.52999999991</v>
      </c>
      <c r="Y38" s="8">
        <f t="shared" si="17"/>
        <v>0.17538974193613932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1890.26</v>
      </c>
      <c r="H40" s="19">
        <v>3866.46</v>
      </c>
      <c r="I40" s="19">
        <v>21021</v>
      </c>
      <c r="J40" s="8">
        <f t="shared" si="11"/>
        <v>0.18393320964749538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1890.26</v>
      </c>
      <c r="W40" s="23">
        <f t="shared" si="15"/>
        <v>3866.46</v>
      </c>
      <c r="X40" s="23">
        <f t="shared" si="16"/>
        <v>21021</v>
      </c>
      <c r="Y40" s="8">
        <f t="shared" si="17"/>
        <v>0.18393320964749538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26816</v>
      </c>
      <c r="H44" s="19">
        <v>81966.100000000006</v>
      </c>
      <c r="I44" s="19">
        <v>286561.95</v>
      </c>
      <c r="J44" s="8">
        <f t="shared" si="11"/>
        <v>0.2860327409134395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26816</v>
      </c>
      <c r="W44" s="23">
        <f t="shared" si="15"/>
        <v>81966.100000000006</v>
      </c>
      <c r="X44" s="23">
        <f t="shared" si="16"/>
        <v>286561.95</v>
      </c>
      <c r="Y44" s="8">
        <f t="shared" si="17"/>
        <v>0.2860327409134395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2561.83</v>
      </c>
      <c r="R49" s="23">
        <v>13222.96</v>
      </c>
      <c r="S49" s="23">
        <v>0</v>
      </c>
      <c r="T49" s="8" t="str">
        <f t="shared" si="13"/>
        <v>%</v>
      </c>
      <c r="U49" s="29"/>
      <c r="V49" s="23">
        <f t="shared" si="14"/>
        <v>2561.83</v>
      </c>
      <c r="W49" s="23">
        <f t="shared" si="15"/>
        <v>13222.96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322553.16000000003</v>
      </c>
      <c r="H50" s="71">
        <f>SUM(H34:H49)</f>
        <v>434190.62000000011</v>
      </c>
      <c r="I50" s="57">
        <f>SUM(I34:I48)</f>
        <v>4233439.8599999994</v>
      </c>
      <c r="J50" s="31">
        <f>IF(I50=0,"",H50/I50)</f>
        <v>0.10256213253493583</v>
      </c>
      <c r="K50" s="29"/>
      <c r="L50" s="57">
        <f>SUM(L34:L49)</f>
        <v>79531.25</v>
      </c>
      <c r="M50" s="57">
        <f>SUM(M34:M49)</f>
        <v>158950.03999999998</v>
      </c>
      <c r="N50" s="57">
        <f>SUM(N34:N48)</f>
        <v>443225.91000000003</v>
      </c>
      <c r="O50" s="31">
        <f>IF(N50=0,"",M50/N50)</f>
        <v>0.35862082160314129</v>
      </c>
      <c r="P50" s="29"/>
      <c r="Q50" s="57">
        <f>SUM(Q34:Q49)</f>
        <v>2561.83</v>
      </c>
      <c r="R50" s="57">
        <f>SUM(R34:R49)</f>
        <v>13222.96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404646.24000000005</v>
      </c>
      <c r="W50" s="57">
        <f>SUM(W34:W49)</f>
        <v>606363.62</v>
      </c>
      <c r="X50" s="57">
        <f>SUM(X34:X49)</f>
        <v>4676665.7700000005</v>
      </c>
      <c r="Y50" s="31">
        <f>IF(X50=0,"",W50/X50)</f>
        <v>0.1296572493783322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88592.469999999972</v>
      </c>
      <c r="H51" s="58">
        <f>H30-H50</f>
        <v>397210.90999999992</v>
      </c>
      <c r="I51" s="58">
        <f>I30-I50</f>
        <v>520379.1400000006</v>
      </c>
      <c r="J51" s="31">
        <f>IF(I51=0,"",H51/I51)</f>
        <v>0.76331059311870086</v>
      </c>
      <c r="K51" s="29"/>
      <c r="L51" s="58">
        <f>L30-L50</f>
        <v>79418.790000000008</v>
      </c>
      <c r="M51" s="58">
        <f>M30-M50</f>
        <v>0</v>
      </c>
      <c r="N51" s="58">
        <f>N30-N50</f>
        <v>0</v>
      </c>
      <c r="O51" s="31" t="str">
        <f>IF(N51=0,"",M51/N51)</f>
        <v/>
      </c>
      <c r="P51" s="29"/>
      <c r="Q51" s="58">
        <f>Q30-Q50</f>
        <v>-37.329999999999927</v>
      </c>
      <c r="R51" s="58">
        <f>R30-R50</f>
        <v>-10682.46</v>
      </c>
      <c r="S51" s="58">
        <f>S30-S50</f>
        <v>0</v>
      </c>
      <c r="T51" s="31" t="str">
        <f>IF(S51=0,"",R51/S51)</f>
        <v/>
      </c>
      <c r="U51" s="29"/>
      <c r="V51" s="58">
        <f>V30-V50</f>
        <v>167973.93</v>
      </c>
      <c r="W51" s="58">
        <f>W30-W50</f>
        <v>386528.45000000007</v>
      </c>
      <c r="X51" s="58">
        <f>X30-X50</f>
        <v>520379.13999999966</v>
      </c>
      <c r="Y51" s="31">
        <f>IF(X51=0,"",W51/X51)</f>
        <v>0.74278236825557675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32589.22</v>
      </c>
      <c r="H55" s="19">
        <v>71400.13</v>
      </c>
      <c r="I55" s="19">
        <v>570554.80000000005</v>
      </c>
      <c r="J55" s="8">
        <f>IF(I55=0,"%",H55/I55)</f>
        <v>0.12514158149225982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32589.22</v>
      </c>
      <c r="W55" s="66">
        <f t="shared" si="18"/>
        <v>71400.13</v>
      </c>
      <c r="X55" s="59">
        <f t="shared" si="18"/>
        <v>570554.80000000005</v>
      </c>
      <c r="Y55" s="8">
        <f>IF(X55=0,"%",W55/X55)</f>
        <v>0.12514158149225982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32589.22</v>
      </c>
      <c r="H56" s="57">
        <f>H54-H55</f>
        <v>-71400.13</v>
      </c>
      <c r="I56" s="57">
        <f>SUM(I54:I55)</f>
        <v>620730.80000000005</v>
      </c>
      <c r="J56" s="31">
        <f>IF(I56=0,"",H56/I56)</f>
        <v>-0.1150259178374909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32589.22</v>
      </c>
      <c r="W56" s="57">
        <f>W54-W55</f>
        <v>-71400.13</v>
      </c>
      <c r="X56" s="57">
        <f>SUM(X54:X55)</f>
        <v>620730.80000000005</v>
      </c>
      <c r="Y56" s="31">
        <f>IF(X56=0,"",W56/X56)</f>
        <v>-0.1150259178374909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325810.77999999991</v>
      </c>
      <c r="I58" s="59"/>
      <c r="J58" s="60" t="str">
        <f>IF(I58=0,"",H58/I58)</f>
        <v/>
      </c>
      <c r="K58" s="59"/>
      <c r="L58" s="59"/>
      <c r="M58" s="59">
        <f>M30-M50+M56</f>
        <v>2.9103830456733704E-11</v>
      </c>
      <c r="N58" s="59"/>
      <c r="O58" s="59"/>
      <c r="P58" s="59"/>
      <c r="Q58" s="59"/>
      <c r="R58" s="59">
        <f>R30-R50+R56</f>
        <v>-10682.46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315128.32000000007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325810.77999999991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2.9103830456733704E-11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-10682.46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315128.32000000007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82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opLeftCell="C13" zoomScale="80" zoomScaleNormal="80" zoomScaleSheetLayoutView="50" zoomScalePageLayoutView="40" workbookViewId="0">
      <selection activeCell="M49" sqref="M4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28012.01</v>
      </c>
      <c r="M17" s="19">
        <v>28012.01</v>
      </c>
      <c r="N17" s="19">
        <v>378822.74</v>
      </c>
      <c r="O17" s="8">
        <f>IF(N17=0,"%",M17/N17)</f>
        <v>7.3944900984560746E-2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28012.01</v>
      </c>
      <c r="W17" s="23">
        <f t="shared" si="1"/>
        <v>28012.01</v>
      </c>
      <c r="X17" s="23">
        <f t="shared" si="1"/>
        <v>378822.74</v>
      </c>
      <c r="Y17" s="8">
        <f>IF(X17=0,"%",W17/X17)</f>
        <v>7.3944900984560746E-2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424790.42</v>
      </c>
      <c r="H19" s="19">
        <v>851657.79</v>
      </c>
      <c r="I19" s="19">
        <v>4509675</v>
      </c>
      <c r="J19" s="20">
        <f t="shared" si="2"/>
        <v>0.18885125646526635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424790.42</v>
      </c>
      <c r="W19" s="23">
        <f t="shared" si="5"/>
        <v>851657.79</v>
      </c>
      <c r="X19" s="23">
        <f t="shared" si="5"/>
        <v>4509675</v>
      </c>
      <c r="Y19" s="8">
        <f t="shared" ref="Y19:Y31" si="6">IF(X19=0,"%",W19/X19)</f>
        <v>0.18885125646526635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5590.45</v>
      </c>
      <c r="H21" s="19">
        <v>11180.9</v>
      </c>
      <c r="I21" s="19">
        <v>61495</v>
      </c>
      <c r="J21" s="20">
        <f t="shared" si="2"/>
        <v>0.18181803398650295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5590.45</v>
      </c>
      <c r="W21" s="23">
        <f t="shared" si="5"/>
        <v>11180.9</v>
      </c>
      <c r="X21" s="23">
        <f t="shared" si="5"/>
        <v>61495</v>
      </c>
      <c r="Y21" s="8">
        <f t="shared" si="6"/>
        <v>0.18181803398650295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64359.18</v>
      </c>
      <c r="H22" s="19">
        <v>128718.36</v>
      </c>
      <c r="I22" s="19">
        <v>678615</v>
      </c>
      <c r="J22" s="20">
        <f t="shared" si="2"/>
        <v>0.18967803541035785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64359.18</v>
      </c>
      <c r="W22" s="23">
        <f t="shared" si="5"/>
        <v>128718.36</v>
      </c>
      <c r="X22" s="23">
        <f t="shared" si="5"/>
        <v>678615</v>
      </c>
      <c r="Y22" s="8">
        <f t="shared" si="6"/>
        <v>0.18967803541035785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11100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11100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51249.46</v>
      </c>
      <c r="I27" s="19">
        <v>265840</v>
      </c>
      <c r="J27" s="20">
        <f t="shared" si="2"/>
        <v>0.19278310261811615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26025.73</v>
      </c>
      <c r="W27" s="23">
        <f t="shared" si="9"/>
        <v>51249.46</v>
      </c>
      <c r="X27" s="23">
        <f t="shared" si="9"/>
        <v>265840</v>
      </c>
      <c r="Y27" s="8">
        <f t="shared" si="6"/>
        <v>0.19278310261811615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f>20000+173566</f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193566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5634.31</v>
      </c>
      <c r="R31" s="23">
        <v>5634.31</v>
      </c>
      <c r="S31" s="23">
        <v>0</v>
      </c>
      <c r="T31" s="8" t="str">
        <f t="shared" si="8"/>
        <v>%</v>
      </c>
      <c r="U31" s="29"/>
      <c r="V31" s="23">
        <f t="shared" si="9"/>
        <v>5634.31</v>
      </c>
      <c r="W31" s="23">
        <f t="shared" si="9"/>
        <v>5634.31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520765.77999999997</v>
      </c>
      <c r="H32" s="57">
        <f>SUM(H16:H31)</f>
        <v>1053906.51</v>
      </c>
      <c r="I32" s="57">
        <f>SUM(I16:I31)</f>
        <v>5709191</v>
      </c>
      <c r="J32" s="31">
        <f>IF(I32=0,"",H32/I32)</f>
        <v>0.18459822241014534</v>
      </c>
      <c r="K32" s="29"/>
      <c r="L32" s="57">
        <f>SUM(L16:L31)</f>
        <v>28012.01</v>
      </c>
      <c r="M32" s="57">
        <f>SUM(M16:M31)</f>
        <v>28012.01</v>
      </c>
      <c r="N32" s="57">
        <f>SUM(N16:N31)</f>
        <v>378822.74</v>
      </c>
      <c r="O32" s="31">
        <f>IF(N32=0,"",M32/N32)</f>
        <v>7.3944900984560746E-2</v>
      </c>
      <c r="P32" s="29"/>
      <c r="Q32" s="57">
        <f>SUM(Q16:Q31)</f>
        <v>5634.31</v>
      </c>
      <c r="R32" s="57">
        <f>SUM(R16:R31)</f>
        <v>5634.31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554412.10000000009</v>
      </c>
      <c r="W32" s="57">
        <f>SUM(W16:W31)</f>
        <v>1087552.83</v>
      </c>
      <c r="X32" s="57">
        <f>SUM(X16:X31)</f>
        <v>6088013.7400000002</v>
      </c>
      <c r="Y32" s="31">
        <f>IF(X32=0,"",W32/X32)</f>
        <v>0.17863836654218854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429036.30999999994</v>
      </c>
      <c r="H36" s="19">
        <v>442090.76999999996</v>
      </c>
      <c r="I36" s="19">
        <v>4026759.4999999995</v>
      </c>
      <c r="J36" s="8">
        <f t="shared" ref="J36:J51" si="10">IF(I36=0,"%",H36/I36)</f>
        <v>0.10978822301158041</v>
      </c>
      <c r="K36" s="29"/>
      <c r="L36" s="19">
        <v>17871.480000000003</v>
      </c>
      <c r="M36" s="19">
        <v>17871.480000000003</v>
      </c>
      <c r="N36" s="19">
        <v>247282.78000000003</v>
      </c>
      <c r="O36" s="8">
        <f t="shared" ref="O36:O51" si="11">IF(N36=0,"%",M36/N36)</f>
        <v>7.2271429494605327E-2</v>
      </c>
      <c r="P36" s="29"/>
      <c r="Q36" s="23">
        <v>0</v>
      </c>
      <c r="R36" s="23">
        <v>0</v>
      </c>
      <c r="S36" s="23">
        <v>0</v>
      </c>
      <c r="T36" s="8" t="str">
        <f t="shared" ref="T36:T51" si="12">IF(S36=0,"%",R36/S36)</f>
        <v>%</v>
      </c>
      <c r="U36" s="29"/>
      <c r="V36" s="23">
        <f t="shared" ref="V36:V51" si="13">G36+L36+Q36</f>
        <v>446907.78999999992</v>
      </c>
      <c r="W36" s="23">
        <f t="shared" ref="W36:W51" si="14">H36+M36+R36</f>
        <v>459962.24999999994</v>
      </c>
      <c r="X36" s="23">
        <f t="shared" ref="X36:X51" si="15">I36+N36+S36</f>
        <v>4274042.2799999993</v>
      </c>
      <c r="Y36" s="8">
        <f t="shared" ref="Y36:Y51" si="16">IF(X36=0,"%",W36/X36)</f>
        <v>0.10761761813923844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24311.969999999998</v>
      </c>
      <c r="H37" s="19">
        <v>24841.669999999995</v>
      </c>
      <c r="I37" s="19">
        <v>312795.89</v>
      </c>
      <c r="J37" s="8">
        <f t="shared" si="10"/>
        <v>7.941814708626764E-2</v>
      </c>
      <c r="K37" s="29"/>
      <c r="L37" s="23">
        <v>10140.530000000001</v>
      </c>
      <c r="M37" s="23">
        <v>10140.530000000001</v>
      </c>
      <c r="N37" s="23">
        <v>131539.96999999997</v>
      </c>
      <c r="O37" s="8">
        <f t="shared" si="11"/>
        <v>7.7090864472601009E-2</v>
      </c>
      <c r="P37" s="29"/>
      <c r="Q37" s="23">
        <v>0</v>
      </c>
      <c r="R37" s="23">
        <v>0</v>
      </c>
      <c r="S37" s="23">
        <v>0</v>
      </c>
      <c r="T37" s="8" t="str">
        <f t="shared" si="12"/>
        <v>%</v>
      </c>
      <c r="U37" s="29"/>
      <c r="V37" s="23">
        <f t="shared" si="13"/>
        <v>34452.5</v>
      </c>
      <c r="W37" s="23">
        <f t="shared" si="14"/>
        <v>34982.199999999997</v>
      </c>
      <c r="X37" s="23">
        <f t="shared" si="15"/>
        <v>444335.86</v>
      </c>
      <c r="Y37" s="8">
        <f t="shared" si="16"/>
        <v>7.8729184720765052E-2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13750</v>
      </c>
      <c r="J38" s="8">
        <f t="shared" si="10"/>
        <v>0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9"/>
      <c r="Q38" s="23">
        <v>0</v>
      </c>
      <c r="R38" s="23">
        <v>0</v>
      </c>
      <c r="S38" s="23">
        <v>0</v>
      </c>
      <c r="T38" s="8" t="str">
        <f t="shared" si="12"/>
        <v>%</v>
      </c>
      <c r="U38" s="29"/>
      <c r="V38" s="23">
        <f t="shared" si="13"/>
        <v>0</v>
      </c>
      <c r="W38" s="23">
        <f t="shared" si="14"/>
        <v>0</v>
      </c>
      <c r="X38" s="23">
        <f t="shared" si="15"/>
        <v>13750</v>
      </c>
      <c r="Y38" s="8">
        <f t="shared" si="16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9"/>
      <c r="Q39" s="23">
        <v>0</v>
      </c>
      <c r="R39" s="23">
        <v>0</v>
      </c>
      <c r="S39" s="23">
        <v>0</v>
      </c>
      <c r="T39" s="8" t="str">
        <f t="shared" si="12"/>
        <v>%</v>
      </c>
      <c r="U39" s="29"/>
      <c r="V39" s="23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37109.879999999997</v>
      </c>
      <c r="H40" s="19">
        <v>76629.349999999991</v>
      </c>
      <c r="I40" s="19">
        <v>447743.15</v>
      </c>
      <c r="J40" s="8">
        <f t="shared" si="10"/>
        <v>0.1711457785562995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9"/>
      <c r="Q40" s="23">
        <v>0</v>
      </c>
      <c r="R40" s="23">
        <v>0</v>
      </c>
      <c r="S40" s="23">
        <v>0</v>
      </c>
      <c r="T40" s="8" t="str">
        <f t="shared" si="12"/>
        <v>%</v>
      </c>
      <c r="U40" s="29"/>
      <c r="V40" s="23">
        <f t="shared" si="13"/>
        <v>37109.879999999997</v>
      </c>
      <c r="W40" s="23">
        <f t="shared" si="14"/>
        <v>76629.349999999991</v>
      </c>
      <c r="X40" s="23">
        <f t="shared" si="15"/>
        <v>447743.15</v>
      </c>
      <c r="Y40" s="8">
        <f t="shared" si="16"/>
        <v>0.1711457785562995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9"/>
      <c r="Q41" s="23">
        <v>0</v>
      </c>
      <c r="R41" s="23">
        <v>0</v>
      </c>
      <c r="S41" s="23">
        <v>0</v>
      </c>
      <c r="T41" s="8" t="str">
        <f t="shared" si="12"/>
        <v>%</v>
      </c>
      <c r="U41" s="29"/>
      <c r="V41" s="23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2426.84</v>
      </c>
      <c r="H42" s="19">
        <v>4964.0200000000004</v>
      </c>
      <c r="I42" s="19">
        <v>25857</v>
      </c>
      <c r="J42" s="8">
        <f t="shared" si="10"/>
        <v>0.19197973469466684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9"/>
      <c r="Q42" s="23">
        <v>0</v>
      </c>
      <c r="R42" s="23">
        <v>0</v>
      </c>
      <c r="S42" s="23">
        <v>0</v>
      </c>
      <c r="T42" s="8" t="str">
        <f t="shared" si="12"/>
        <v>%</v>
      </c>
      <c r="U42" s="29"/>
      <c r="V42" s="23">
        <f t="shared" si="13"/>
        <v>2426.84</v>
      </c>
      <c r="W42" s="23">
        <f t="shared" si="14"/>
        <v>4964.0200000000004</v>
      </c>
      <c r="X42" s="23">
        <f t="shared" si="15"/>
        <v>25857</v>
      </c>
      <c r="Y42" s="8">
        <f t="shared" si="16"/>
        <v>0.19197973469466684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9"/>
      <c r="Q43" s="23">
        <v>0</v>
      </c>
      <c r="R43" s="23">
        <v>0</v>
      </c>
      <c r="S43" s="23">
        <v>0</v>
      </c>
      <c r="T43" s="8" t="str">
        <f t="shared" si="12"/>
        <v>%</v>
      </c>
      <c r="U43" s="29"/>
      <c r="V43" s="23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9"/>
      <c r="Q44" s="23">
        <v>0</v>
      </c>
      <c r="R44" s="23">
        <v>0</v>
      </c>
      <c r="S44" s="23">
        <v>0</v>
      </c>
      <c r="T44" s="8" t="str">
        <f t="shared" si="12"/>
        <v>%</v>
      </c>
      <c r="U44" s="29"/>
      <c r="V44" s="23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9"/>
      <c r="Q45" s="23">
        <v>0</v>
      </c>
      <c r="R45" s="23">
        <v>0</v>
      </c>
      <c r="S45" s="23">
        <v>0</v>
      </c>
      <c r="T45" s="8" t="str">
        <f t="shared" si="12"/>
        <v>%</v>
      </c>
      <c r="U45" s="29"/>
      <c r="V45" s="23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39819.379999999997</v>
      </c>
      <c r="H46" s="19">
        <v>79393.19</v>
      </c>
      <c r="I46" s="19">
        <v>305745.84999999998</v>
      </c>
      <c r="J46" s="8">
        <f t="shared" si="10"/>
        <v>0.25967054009073226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9"/>
      <c r="Q46" s="23">
        <v>0</v>
      </c>
      <c r="R46" s="23">
        <v>0</v>
      </c>
      <c r="S46" s="23">
        <v>0</v>
      </c>
      <c r="T46" s="8" t="str">
        <f t="shared" si="12"/>
        <v>%</v>
      </c>
      <c r="U46" s="29"/>
      <c r="V46" s="23">
        <f t="shared" si="13"/>
        <v>39819.379999999997</v>
      </c>
      <c r="W46" s="23">
        <f t="shared" si="14"/>
        <v>79393.19</v>
      </c>
      <c r="X46" s="23">
        <f t="shared" si="15"/>
        <v>305745.84999999998</v>
      </c>
      <c r="Y46" s="8">
        <f t="shared" si="16"/>
        <v>0.25967054009073226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6074.25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9"/>
      <c r="Q47" s="23">
        <v>0</v>
      </c>
      <c r="R47" s="23">
        <v>0</v>
      </c>
      <c r="S47" s="23">
        <v>0</v>
      </c>
      <c r="T47" s="8" t="str">
        <f t="shared" si="12"/>
        <v>%</v>
      </c>
      <c r="U47" s="29"/>
      <c r="V47" s="23">
        <f t="shared" si="13"/>
        <v>6074.25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9"/>
      <c r="Q48" s="23">
        <v>0</v>
      </c>
      <c r="R48" s="23">
        <v>0</v>
      </c>
      <c r="S48" s="23">
        <v>0</v>
      </c>
      <c r="T48" s="8" t="str">
        <f t="shared" si="12"/>
        <v>%</v>
      </c>
      <c r="U48" s="29"/>
      <c r="V48" s="23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9"/>
      <c r="Q49" s="23">
        <v>0</v>
      </c>
      <c r="R49" s="23">
        <v>0</v>
      </c>
      <c r="S49" s="23">
        <v>0</v>
      </c>
      <c r="T49" s="8" t="str">
        <f t="shared" si="12"/>
        <v>%</v>
      </c>
      <c r="U49" s="29"/>
      <c r="V49" s="23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9"/>
      <c r="Q50" s="23">
        <v>0</v>
      </c>
      <c r="R50" s="23">
        <v>0</v>
      </c>
      <c r="S50" s="23">
        <v>0</v>
      </c>
      <c r="T50" s="8" t="str">
        <f t="shared" si="12"/>
        <v>%</v>
      </c>
      <c r="U50" s="29"/>
      <c r="V50" s="23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9"/>
      <c r="Q51" s="23">
        <v>9727.75</v>
      </c>
      <c r="R51" s="23">
        <v>9786.41</v>
      </c>
      <c r="S51" s="23">
        <v>0</v>
      </c>
      <c r="T51" s="8" t="str">
        <f t="shared" si="12"/>
        <v>%</v>
      </c>
      <c r="U51" s="29"/>
      <c r="V51" s="23">
        <f t="shared" si="13"/>
        <v>9727.75</v>
      </c>
      <c r="W51" s="23">
        <f t="shared" si="14"/>
        <v>9786.41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538778.62999999989</v>
      </c>
      <c r="H52" s="57">
        <f>SUM(H36:H51)</f>
        <v>633993.25</v>
      </c>
      <c r="I52" s="57">
        <f>SUM(I36:I51)</f>
        <v>5132651.3899999997</v>
      </c>
      <c r="J52" s="31">
        <f>IF(I52=0,"",H52/I52)</f>
        <v>0.12352158793313256</v>
      </c>
      <c r="K52" s="29"/>
      <c r="L52" s="57">
        <f>SUM(L36:L51)</f>
        <v>28012.010000000002</v>
      </c>
      <c r="M52" s="57">
        <f>SUM(M36:M51)</f>
        <v>28012.010000000002</v>
      </c>
      <c r="N52" s="57">
        <f>SUM(N36:N51)</f>
        <v>378822.75</v>
      </c>
      <c r="O52" s="31">
        <f>IF(N52=0,"",M52/N52)</f>
        <v>7.394489903259506E-2</v>
      </c>
      <c r="P52" s="29"/>
      <c r="Q52" s="57">
        <f>SUM(Q36:Q51)</f>
        <v>9727.75</v>
      </c>
      <c r="R52" s="57">
        <f>SUM(R36:R51)</f>
        <v>9786.41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576518.3899999999</v>
      </c>
      <c r="W52" s="57">
        <f>SUM(W36:W51)</f>
        <v>671791.67</v>
      </c>
      <c r="X52" s="57">
        <f>SUM(X36:X51)</f>
        <v>5511474.1399999997</v>
      </c>
      <c r="Y52" s="31">
        <f>IF(X52=0,"",W52/X52)</f>
        <v>0.12188965291960892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-18012.849999999919</v>
      </c>
      <c r="H53" s="58">
        <f>H32-H52</f>
        <v>419913.26</v>
      </c>
      <c r="I53" s="58">
        <f>I32-I52</f>
        <v>576539.61000000034</v>
      </c>
      <c r="J53" s="31">
        <f>IF(I53=0,"",H53/I53)</f>
        <v>0.72833375663469113</v>
      </c>
      <c r="K53" s="29"/>
      <c r="L53" s="58">
        <f>L32-L52</f>
        <v>0</v>
      </c>
      <c r="M53" s="58">
        <f>M32-M52</f>
        <v>0</v>
      </c>
      <c r="N53" s="58">
        <f>N32-N52</f>
        <v>-1.0000000009313226E-2</v>
      </c>
      <c r="O53" s="31">
        <f>IF(N53=0,"",M53/N53)</f>
        <v>0</v>
      </c>
      <c r="P53" s="29"/>
      <c r="Q53" s="58">
        <f>Q32-Q52</f>
        <v>-4093.4399999999996</v>
      </c>
      <c r="R53" s="58">
        <f>R32-R52</f>
        <v>-4152.0999999999995</v>
      </c>
      <c r="S53" s="58">
        <f>S32-S52</f>
        <v>0</v>
      </c>
      <c r="T53" s="31" t="str">
        <f>IF(S53=0,"",R53/S53)</f>
        <v/>
      </c>
      <c r="U53" s="29"/>
      <c r="V53" s="58">
        <f>V32-V52</f>
        <v>-22106.289999999804</v>
      </c>
      <c r="W53" s="58">
        <f>W32-W52</f>
        <v>415761.16000000003</v>
      </c>
      <c r="X53" s="58">
        <f>X32-X52</f>
        <v>576539.60000000056</v>
      </c>
      <c r="Y53" s="31">
        <f>IF(X53=0,"",W53/X53)</f>
        <v>0.7211320089721498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97643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7">G56+L56+Q56</f>
        <v>0</v>
      </c>
      <c r="W56" s="66">
        <f t="shared" si="17"/>
        <v>0</v>
      </c>
      <c r="X56" s="59">
        <f t="shared" si="17"/>
        <v>97643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38468.959999999999</v>
      </c>
      <c r="H57" s="19">
        <v>85027.36</v>
      </c>
      <c r="I57" s="19">
        <v>674180.4</v>
      </c>
      <c r="J57" s="8">
        <f>IF(I57=0,"%",H57/I57)</f>
        <v>0.12611959647595805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7"/>
        <v>38468.959999999999</v>
      </c>
      <c r="W57" s="66">
        <f t="shared" si="17"/>
        <v>85027.36</v>
      </c>
      <c r="X57" s="59">
        <f t="shared" si="17"/>
        <v>674180.4</v>
      </c>
      <c r="Y57" s="8">
        <f>IF(X57=0,"%",W57/X57)</f>
        <v>0.12611959647595805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38468.959999999999</v>
      </c>
      <c r="H58" s="57">
        <f>SUM(H56-H57)</f>
        <v>-85027.36</v>
      </c>
      <c r="I58" s="57">
        <f>SUM(I56:I57)</f>
        <v>771823.4</v>
      </c>
      <c r="J58" s="31">
        <f>IF(I58=0,"",H58/I58)</f>
        <v>-0.11016426814735081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38468.959999999999</v>
      </c>
      <c r="W58" s="57">
        <f>W56-W57</f>
        <v>-85027.36</v>
      </c>
      <c r="X58" s="57">
        <f>SUM(X56:X57)</f>
        <v>771823.4</v>
      </c>
      <c r="Y58" s="31">
        <f>IF(X58=0,"",W58/X58)</f>
        <v>-0.11016426814735081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/>
      <c r="H60" s="59">
        <f>H53+H58</f>
        <v>334885.90000000002</v>
      </c>
      <c r="I60" s="59"/>
      <c r="J60" s="8" t="str">
        <f>IF(I60=0,"",H60/I60)</f>
        <v/>
      </c>
      <c r="K60" s="29"/>
      <c r="L60" s="59"/>
      <c r="M60" s="59">
        <f>M32-M52+M58</f>
        <v>-3.637978807091713E-12</v>
      </c>
      <c r="N60" s="59"/>
      <c r="O60" s="29"/>
      <c r="P60" s="29"/>
      <c r="Q60" s="59"/>
      <c r="R60" s="59">
        <f>R32-R52+R58</f>
        <v>-4152.0999999999995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330733.80000000005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334885.90000000002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-3.637978807091713E-12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-4152.0999999999995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330733.80000000005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C1" zoomScale="80" zoomScaleNormal="80" zoomScaleSheetLayoutView="50" zoomScalePageLayoutView="40" workbookViewId="0">
      <selection activeCell="I17" sqref="I1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52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55877.11</v>
      </c>
      <c r="M17" s="19">
        <v>55877.11</v>
      </c>
      <c r="N17" s="19">
        <v>374319.9</v>
      </c>
      <c r="O17" s="8">
        <f>IF(N17=0,"%",M17/N17)</f>
        <v>0.14927635426275759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55877.11</v>
      </c>
      <c r="W17" s="23">
        <f t="shared" si="1"/>
        <v>55877.11</v>
      </c>
      <c r="X17" s="23">
        <f t="shared" si="1"/>
        <v>374319.9</v>
      </c>
      <c r="Y17" s="8">
        <f>IF(X17=0,"%",W17/X17)</f>
        <v>0.14927635426275759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269207.15000000002</v>
      </c>
      <c r="H19" s="19">
        <v>539737.78</v>
      </c>
      <c r="I19" s="19">
        <v>3229207</v>
      </c>
      <c r="J19" s="20">
        <f t="shared" si="2"/>
        <v>0.16714251517477821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269207.15000000002</v>
      </c>
      <c r="W19" s="23">
        <f t="shared" si="5"/>
        <v>539737.78</v>
      </c>
      <c r="X19" s="23">
        <f t="shared" si="5"/>
        <v>3229207</v>
      </c>
      <c r="Y19" s="8">
        <f t="shared" ref="Y19:Y24" si="6">IF(X19=0,"%",W19/X19)</f>
        <v>0.16714251517477821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9358.36</v>
      </c>
      <c r="H21" s="19">
        <v>18716.72</v>
      </c>
      <c r="I21" s="19">
        <v>102942</v>
      </c>
      <c r="J21" s="20">
        <f t="shared" si="2"/>
        <v>0.18181811116939636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9358.36</v>
      </c>
      <c r="W21" s="23">
        <f t="shared" si="5"/>
        <v>18716.72</v>
      </c>
      <c r="X21" s="23">
        <f t="shared" si="5"/>
        <v>102942</v>
      </c>
      <c r="Y21" s="8">
        <f>IF(X21=0,"%",W21/X21)</f>
        <v>0.18181811116939636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40966.18</v>
      </c>
      <c r="H22" s="19">
        <v>81932.36</v>
      </c>
      <c r="I22" s="19">
        <v>470413</v>
      </c>
      <c r="J22" s="20">
        <f t="shared" si="2"/>
        <v>0.17417112197154416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40966.18</v>
      </c>
      <c r="W22" s="23">
        <f t="shared" si="5"/>
        <v>81932.36</v>
      </c>
      <c r="X22" s="23">
        <f t="shared" si="5"/>
        <v>470413</v>
      </c>
      <c r="Y22" s="8">
        <f>IF(X22=0,"%",W22/X22)</f>
        <v>0.17417112197154416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7800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7800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32725.919999999998</v>
      </c>
      <c r="I27" s="19">
        <v>184855</v>
      </c>
      <c r="J27" s="20">
        <f t="shared" si="2"/>
        <v>0.17703562251494415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16619.009999999998</v>
      </c>
      <c r="W27" s="23">
        <f t="shared" si="9"/>
        <v>32725.919999999998</v>
      </c>
      <c r="X27" s="23">
        <f t="shared" si="9"/>
        <v>184855</v>
      </c>
      <c r="Y27" s="8">
        <f t="shared" si="10"/>
        <v>0.17703562251494415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332</v>
      </c>
      <c r="R31" s="19">
        <v>612.65</v>
      </c>
      <c r="S31" s="19">
        <v>0</v>
      </c>
      <c r="T31" s="8" t="str">
        <f t="shared" si="8"/>
        <v>%</v>
      </c>
      <c r="U31" s="29"/>
      <c r="V31" s="23">
        <f t="shared" si="9"/>
        <v>332</v>
      </c>
      <c r="W31" s="23">
        <f t="shared" si="9"/>
        <v>612.65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336150.7</v>
      </c>
      <c r="H32" s="57">
        <f>SUM(H16:H31)</f>
        <v>680912.78</v>
      </c>
      <c r="I32" s="57">
        <f>SUM(I16:I31)</f>
        <v>3987417</v>
      </c>
      <c r="J32" s="31">
        <f>IF(I32=0,"",H32/I32)</f>
        <v>0.17076538019474763</v>
      </c>
      <c r="K32" s="29"/>
      <c r="L32" s="57">
        <f>SUM(L16:L31)</f>
        <v>55877.11</v>
      </c>
      <c r="M32" s="57">
        <f>SUM(M16:M31)</f>
        <v>55877.11</v>
      </c>
      <c r="N32" s="57">
        <f>SUM(N16:N31)</f>
        <v>374319.9</v>
      </c>
      <c r="O32" s="31">
        <f>IF(N32=0,"",M32/N32)</f>
        <v>0.14927635426275759</v>
      </c>
      <c r="P32" s="29"/>
      <c r="Q32" s="57">
        <f>SUM(Q16:Q31)</f>
        <v>332</v>
      </c>
      <c r="R32" s="57">
        <f>SUM(R16:R31)</f>
        <v>612.65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392359.81</v>
      </c>
      <c r="W32" s="57">
        <f>SUM(W16:W31)</f>
        <v>737402.54</v>
      </c>
      <c r="X32" s="57">
        <f>SUM(X16:X31)</f>
        <v>4361736.9000000004</v>
      </c>
      <c r="Y32" s="31">
        <f>IF(X32=0,"",W32/X32)</f>
        <v>0.16906167357320429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206304.63999999998</v>
      </c>
      <c r="H36" s="19">
        <v>216412.38999999998</v>
      </c>
      <c r="I36" s="19">
        <v>2686218.06</v>
      </c>
      <c r="J36" s="8">
        <f t="shared" ref="J36:J51" si="11">IF(I36=0,"%",H36/I36)</f>
        <v>8.0563969553536535E-2</v>
      </c>
      <c r="K36" s="29"/>
      <c r="L36" s="19">
        <v>18986.689999999999</v>
      </c>
      <c r="M36" s="19">
        <v>26741.929999999997</v>
      </c>
      <c r="N36" s="19">
        <v>137935.99</v>
      </c>
      <c r="O36" s="8">
        <f t="shared" ref="O36:O51" si="12">IF(N36=0,"%",M36/N36)</f>
        <v>0.1938720271627441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225291.33</v>
      </c>
      <c r="W36" s="23">
        <f t="shared" ref="W36:W51" si="15">H36+M36+R36</f>
        <v>243154.31999999998</v>
      </c>
      <c r="X36" s="23">
        <f t="shared" ref="X36:X51" si="16">I36+N36+S36</f>
        <v>2824154.05</v>
      </c>
      <c r="Y36" s="8">
        <f t="shared" ref="Y36:Y51" si="17">IF(X36=0,"%",W36/X36)</f>
        <v>8.6098107856403941E-2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13719.390000000001</v>
      </c>
      <c r="H37" s="19">
        <v>20805.870000000003</v>
      </c>
      <c r="I37" s="19">
        <v>171389.89999999997</v>
      </c>
      <c r="J37" s="8">
        <f t="shared" si="11"/>
        <v>0.12139495967965444</v>
      </c>
      <c r="K37" s="29"/>
      <c r="L37" s="19">
        <v>22374.04</v>
      </c>
      <c r="M37" s="19">
        <v>25009.18</v>
      </c>
      <c r="N37" s="19">
        <v>236383.90999999997</v>
      </c>
      <c r="O37" s="8">
        <f t="shared" si="12"/>
        <v>0.10579899452547342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36093.43</v>
      </c>
      <c r="W37" s="23">
        <f t="shared" si="15"/>
        <v>45815.05</v>
      </c>
      <c r="X37" s="23">
        <f t="shared" si="16"/>
        <v>407773.80999999994</v>
      </c>
      <c r="Y37" s="8">
        <f t="shared" si="17"/>
        <v>0.11235407688394704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13750</v>
      </c>
      <c r="J38" s="8">
        <f t="shared" si="11"/>
        <v>0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0</v>
      </c>
      <c r="X38" s="23">
        <f t="shared" si="16"/>
        <v>13750</v>
      </c>
      <c r="Y38" s="8">
        <f t="shared" si="17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34568.1</v>
      </c>
      <c r="H40" s="19">
        <v>67461.31</v>
      </c>
      <c r="I40" s="19">
        <v>438855.79</v>
      </c>
      <c r="J40" s="8">
        <f t="shared" si="11"/>
        <v>0.15372090681542563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34568.1</v>
      </c>
      <c r="W40" s="23">
        <f t="shared" si="15"/>
        <v>67461.31</v>
      </c>
      <c r="X40" s="23">
        <f t="shared" si="16"/>
        <v>438855.79</v>
      </c>
      <c r="Y40" s="8">
        <f t="shared" si="17"/>
        <v>0.15372090681542563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3170.15</v>
      </c>
      <c r="I42" s="19">
        <v>17979</v>
      </c>
      <c r="J42" s="8">
        <f t="shared" si="11"/>
        <v>0.17632515712776017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1549.84</v>
      </c>
      <c r="W42" s="23">
        <f t="shared" si="15"/>
        <v>3170.15</v>
      </c>
      <c r="X42" s="23">
        <f t="shared" si="16"/>
        <v>17979</v>
      </c>
      <c r="Y42" s="8">
        <f t="shared" si="17"/>
        <v>0.17632515712776017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1096</v>
      </c>
      <c r="M45" s="23">
        <v>4126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1096</v>
      </c>
      <c r="W45" s="23">
        <f t="shared" si="15"/>
        <v>4126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36299.349999999991</v>
      </c>
      <c r="H46" s="19">
        <v>59157.929999999986</v>
      </c>
      <c r="I46" s="19">
        <v>321371.81</v>
      </c>
      <c r="J46" s="8">
        <f t="shared" si="11"/>
        <v>0.18407940011913299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36299.349999999991</v>
      </c>
      <c r="W46" s="23">
        <f t="shared" si="15"/>
        <v>59157.929999999986</v>
      </c>
      <c r="X46" s="23">
        <f t="shared" si="16"/>
        <v>321371.81</v>
      </c>
      <c r="Y46" s="8">
        <f t="shared" si="17"/>
        <v>0.18407940011913299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4500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4500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23">
        <v>0</v>
      </c>
      <c r="R50" s="23">
        <v>0</v>
      </c>
      <c r="S50" s="23">
        <v>0</v>
      </c>
      <c r="T50" s="8"/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1429.59</v>
      </c>
      <c r="R51" s="23">
        <v>1769.59</v>
      </c>
      <c r="S51" s="19">
        <v>0</v>
      </c>
      <c r="T51" s="8" t="str">
        <f t="shared" si="13"/>
        <v>%</v>
      </c>
      <c r="U51" s="29"/>
      <c r="V51" s="23">
        <f t="shared" si="14"/>
        <v>1429.59</v>
      </c>
      <c r="W51" s="23">
        <f t="shared" si="15"/>
        <v>1769.59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292441.32</v>
      </c>
      <c r="H52" s="57">
        <f>SUM(H36:H51)</f>
        <v>367007.64999999997</v>
      </c>
      <c r="I52" s="57">
        <f>SUM(I36:I51)</f>
        <v>3654064.56</v>
      </c>
      <c r="J52" s="31">
        <f>IF(I52=0,"",H52/I52)</f>
        <v>0.10043819532296384</v>
      </c>
      <c r="K52" s="29"/>
      <c r="L52" s="57">
        <f>SUM(L36:L51)</f>
        <v>42456.729999999996</v>
      </c>
      <c r="M52" s="57">
        <f>SUM(M36:M51)</f>
        <v>55877.11</v>
      </c>
      <c r="N52" s="57">
        <f>SUM(N36:N51)</f>
        <v>374319.89999999997</v>
      </c>
      <c r="O52" s="31">
        <f>IF(N52=0,"",M52/N52)</f>
        <v>0.14927635426275762</v>
      </c>
      <c r="P52" s="29"/>
      <c r="Q52" s="57">
        <f>SUM(Q36:Q51)</f>
        <v>1429.59</v>
      </c>
      <c r="R52" s="57">
        <f>SUM(R36:R51)</f>
        <v>1769.59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336327.64</v>
      </c>
      <c r="W52" s="57">
        <f>SUM(W36:W51)</f>
        <v>424654.35000000003</v>
      </c>
      <c r="X52" s="57">
        <f>SUM(X36:X51)</f>
        <v>4028384.46</v>
      </c>
      <c r="Y52" s="31">
        <f>IF(X52=0,"",W52/X52)</f>
        <v>0.10541554665812608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43709.380000000005</v>
      </c>
      <c r="H53" s="58">
        <f>H32-H52</f>
        <v>313905.13000000006</v>
      </c>
      <c r="I53" s="58">
        <f>I32-I52</f>
        <v>333352.43999999994</v>
      </c>
      <c r="J53" s="31">
        <f>IF(I53=0,"",H53/I53)</f>
        <v>0.94166141396775171</v>
      </c>
      <c r="K53" s="29"/>
      <c r="L53" s="58">
        <f>L32-L52</f>
        <v>13420.380000000005</v>
      </c>
      <c r="M53" s="58">
        <f>M32-M52</f>
        <v>0</v>
      </c>
      <c r="N53" s="58">
        <f>N32-N52</f>
        <v>0</v>
      </c>
      <c r="O53" s="31" t="str">
        <f>IF(N53=0,"",M53/N53)</f>
        <v/>
      </c>
      <c r="P53" s="29"/>
      <c r="Q53" s="58">
        <f>Q32-Q52</f>
        <v>-1097.5899999999999</v>
      </c>
      <c r="R53" s="58">
        <f>R32-R52</f>
        <v>-1156.94</v>
      </c>
      <c r="S53" s="58">
        <f>S32-S52</f>
        <v>0</v>
      </c>
      <c r="T53" s="31" t="str">
        <f>IF(S53=0,"",R53/S53)</f>
        <v/>
      </c>
      <c r="U53" s="29"/>
      <c r="V53" s="58">
        <f>V32-V52</f>
        <v>56032.169999999984</v>
      </c>
      <c r="W53" s="58">
        <f>W32-W52</f>
        <v>312748.19</v>
      </c>
      <c r="X53" s="58">
        <f>X32-X52</f>
        <v>333352.44000000041</v>
      </c>
      <c r="Y53" s="31">
        <f>IF(X53=0,"",W53/X53)</f>
        <v>0.93819079290374963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8"/>
      <c r="P54" s="29"/>
      <c r="Q54" s="59"/>
      <c r="R54" s="59"/>
      <c r="S54" s="59"/>
      <c r="T54" s="8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8"/>
      <c r="P55" s="29"/>
      <c r="Q55" s="59"/>
      <c r="R55" s="59"/>
      <c r="S55" s="59"/>
      <c r="T55" s="8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201417</v>
      </c>
      <c r="J56" s="8">
        <f>IF(I56=0,"%",H56/I56)</f>
        <v>0</v>
      </c>
      <c r="K56" s="29"/>
      <c r="L56" s="67">
        <v>0</v>
      </c>
      <c r="M56" s="67">
        <v>0</v>
      </c>
      <c r="N56" s="67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201417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32293.61</v>
      </c>
      <c r="H57" s="19">
        <v>68912.209999999992</v>
      </c>
      <c r="I57" s="19">
        <v>534771</v>
      </c>
      <c r="J57" s="8">
        <f>IF(I57=0,"%",H57/I57)</f>
        <v>0.12886302735189453</v>
      </c>
      <c r="K57" s="29"/>
      <c r="L57" s="66">
        <v>0</v>
      </c>
      <c r="M57" s="66">
        <v>0</v>
      </c>
      <c r="N57" s="66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f t="shared" si="18"/>
        <v>32293.61</v>
      </c>
      <c r="W57" s="66">
        <f t="shared" si="18"/>
        <v>68912.209999999992</v>
      </c>
      <c r="X57" s="59">
        <f t="shared" si="18"/>
        <v>534771</v>
      </c>
      <c r="Y57" s="8">
        <f>IF(X57=0,"%",W57/X57)</f>
        <v>0.12886302735189453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32293.61</v>
      </c>
      <c r="H58" s="57">
        <f>SUM(H56-H57)</f>
        <v>-68912.209999999992</v>
      </c>
      <c r="I58" s="57">
        <f>SUM(I56:I57)</f>
        <v>736188</v>
      </c>
      <c r="J58" s="31">
        <f>IF(I58=0,"",H58/I58)</f>
        <v>-9.3606809673615968E-2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32293.61</v>
      </c>
      <c r="W58" s="57">
        <f>W56-W57</f>
        <v>-68912.209999999992</v>
      </c>
      <c r="X58" s="57">
        <f>SUM(X56:X57)</f>
        <v>736188</v>
      </c>
      <c r="Y58" s="31">
        <f>IF(X58=0,"",W58/X58)</f>
        <v>-9.3606809673615968E-2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244992.92000000007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-1156.94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243835.98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244992.92000000007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-1156.94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243835.98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C1" zoomScale="80" zoomScaleNormal="80" zoomScaleSheetLayoutView="80" zoomScalePageLayoutView="40" workbookViewId="0">
      <selection activeCell="L15" sqref="L15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16941.11</v>
      </c>
      <c r="M17" s="23">
        <v>16941.11</v>
      </c>
      <c r="N17" s="19">
        <v>218997.22</v>
      </c>
      <c r="O17" s="8">
        <f>IF(N17=0,"%",M17/N17)</f>
        <v>7.7357648649603858E-2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16941.11</v>
      </c>
      <c r="W17" s="23">
        <f t="shared" si="1"/>
        <v>16941.11</v>
      </c>
      <c r="X17" s="23">
        <f t="shared" si="1"/>
        <v>218997.22</v>
      </c>
      <c r="Y17" s="8">
        <f>IF(X17=0,"%",W17/X17)</f>
        <v>7.7357648649603858E-2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290983.82</v>
      </c>
      <c r="H19" s="23">
        <v>583378.55000000005</v>
      </c>
      <c r="I19" s="19">
        <v>3220704</v>
      </c>
      <c r="J19" s="20">
        <f t="shared" si="2"/>
        <v>0.18113386079565214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290983.82</v>
      </c>
      <c r="W19" s="23">
        <f t="shared" si="5"/>
        <v>583378.55000000005</v>
      </c>
      <c r="X19" s="23">
        <f t="shared" si="5"/>
        <v>3220704</v>
      </c>
      <c r="Y19" s="8">
        <f t="shared" ref="Y19:Y24" si="6">IF(X19=0,"%",W19/X19)</f>
        <v>0.18113386079565214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5035.55</v>
      </c>
      <c r="H21" s="23">
        <v>10071.1</v>
      </c>
      <c r="I21" s="19">
        <v>55391</v>
      </c>
      <c r="J21" s="20">
        <f t="shared" si="2"/>
        <v>0.18181834594067628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f t="shared" si="5"/>
        <v>5035.55</v>
      </c>
      <c r="W21" s="23">
        <f t="shared" si="5"/>
        <v>10071.1</v>
      </c>
      <c r="X21" s="23">
        <f t="shared" si="5"/>
        <v>55391</v>
      </c>
      <c r="Y21" s="8">
        <f>IF(X21=0,"%",W21/X21)</f>
        <v>0.18181834594067628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43594.91</v>
      </c>
      <c r="H22" s="23">
        <v>87189.82</v>
      </c>
      <c r="I22" s="19">
        <v>479340</v>
      </c>
      <c r="J22" s="20">
        <f t="shared" si="2"/>
        <v>0.18189556473484375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43594.91</v>
      </c>
      <c r="W22" s="23">
        <f t="shared" si="5"/>
        <v>87189.82</v>
      </c>
      <c r="X22" s="23">
        <f t="shared" si="5"/>
        <v>479340</v>
      </c>
      <c r="Y22" s="8">
        <f t="shared" si="6"/>
        <v>0.18189556473484375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17867.509999999998</v>
      </c>
      <c r="H27" s="23">
        <v>35184.42</v>
      </c>
      <c r="I27" s="19">
        <v>190486</v>
      </c>
      <c r="J27" s="20">
        <f t="shared" si="2"/>
        <v>0.18470869250233612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17867.509999999998</v>
      </c>
      <c r="W27" s="23">
        <f t="shared" si="9"/>
        <v>35184.42</v>
      </c>
      <c r="X27" s="23">
        <f t="shared" si="9"/>
        <v>190486</v>
      </c>
      <c r="Y27" s="8">
        <f t="shared" si="10"/>
        <v>0.18470869250233612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553.54</v>
      </c>
      <c r="H30" s="23">
        <v>656.72</v>
      </c>
      <c r="I30" s="19">
        <v>83257</v>
      </c>
      <c r="J30" s="20">
        <f t="shared" si="2"/>
        <v>7.8878652846006946E-3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553.54</v>
      </c>
      <c r="W30" s="23">
        <f t="shared" si="9"/>
        <v>656.72</v>
      </c>
      <c r="X30" s="23">
        <f t="shared" si="9"/>
        <v>83257</v>
      </c>
      <c r="Y30" s="8">
        <f t="shared" si="10"/>
        <v>7.8878652846006946E-3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14885.02</v>
      </c>
      <c r="R31" s="23">
        <v>14885.02</v>
      </c>
      <c r="S31" s="23">
        <v>0</v>
      </c>
      <c r="T31" s="8" t="str">
        <f t="shared" si="8"/>
        <v>%</v>
      </c>
      <c r="U31" s="29"/>
      <c r="V31" s="23">
        <f t="shared" si="9"/>
        <v>14885.02</v>
      </c>
      <c r="W31" s="23">
        <f t="shared" si="9"/>
        <v>14885.02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358035.33</v>
      </c>
      <c r="H32" s="71">
        <f>SUM(H16:H31)</f>
        <v>725180.61</v>
      </c>
      <c r="I32" s="57">
        <f>SUM(I16:I31)</f>
        <v>4108771</v>
      </c>
      <c r="J32" s="31">
        <f>IF(I32=0,"",H32/I32)</f>
        <v>0.176495747755229</v>
      </c>
      <c r="K32" s="29"/>
      <c r="L32" s="57">
        <f>SUM(L16:L31)</f>
        <v>16941.11</v>
      </c>
      <c r="M32" s="57">
        <f>SUM(M16:M31)</f>
        <v>16941.11</v>
      </c>
      <c r="N32" s="57">
        <f>SUM(N16:N31)</f>
        <v>218997.22</v>
      </c>
      <c r="O32" s="31">
        <f>IF(N32=0,"",M32/N32)</f>
        <v>7.7357648649603858E-2</v>
      </c>
      <c r="P32" s="29"/>
      <c r="Q32" s="57">
        <f>SUM(Q16:Q31)</f>
        <v>14885.02</v>
      </c>
      <c r="R32" s="57">
        <f>SUM(R16:R31)</f>
        <v>14885.02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389861.46</v>
      </c>
      <c r="W32" s="57">
        <f>SUM(W16:W31)</f>
        <v>757006.74000000011</v>
      </c>
      <c r="X32" s="57">
        <f>SUM(X16:X31)</f>
        <v>4327768.2200000007</v>
      </c>
      <c r="Y32" s="31">
        <f>IF(X32=0,"",W32/X32)</f>
        <v>0.17491850337585776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231108.09</v>
      </c>
      <c r="H36" s="23">
        <v>234050.93000000002</v>
      </c>
      <c r="I36" s="19">
        <v>2985676.4399999995</v>
      </c>
      <c r="J36" s="8">
        <f t="shared" ref="J36:J51" si="11">IF(I36=0,"%",H36/I36)</f>
        <v>7.8391257292434569E-2</v>
      </c>
      <c r="K36" s="29"/>
      <c r="L36" s="23">
        <v>8875.2900000000009</v>
      </c>
      <c r="M36" s="23">
        <v>8875.2900000000009</v>
      </c>
      <c r="N36" s="19">
        <v>110933.23</v>
      </c>
      <c r="O36" s="8">
        <f t="shared" ref="O36:O51" si="12">IF(N36=0,"%",M36/N36)</f>
        <v>8.0005693514918846E-2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239983.38</v>
      </c>
      <c r="W36" s="23">
        <f t="shared" ref="W36:W51" si="15">H36+M36+R36</f>
        <v>242926.22000000003</v>
      </c>
      <c r="X36" s="23">
        <f t="shared" ref="X36:X51" si="16">I36+N36+S36</f>
        <v>3096609.6699999995</v>
      </c>
      <c r="Y36" s="8">
        <f t="shared" ref="Y36:Y51" si="17">IF(X36=0,"%",W36/X36)</f>
        <v>7.8449093004350171E-2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15529.250000000002</v>
      </c>
      <c r="H37" s="23">
        <v>17963.04</v>
      </c>
      <c r="I37" s="19">
        <v>148025.24</v>
      </c>
      <c r="J37" s="8">
        <f t="shared" si="11"/>
        <v>0.12135119659322965</v>
      </c>
      <c r="K37" s="29"/>
      <c r="L37" s="23">
        <v>8065.82</v>
      </c>
      <c r="M37" s="23">
        <v>8065.82</v>
      </c>
      <c r="N37" s="23">
        <v>108063.99</v>
      </c>
      <c r="O37" s="8">
        <f t="shared" si="12"/>
        <v>7.4639294736387196E-2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23595.07</v>
      </c>
      <c r="W37" s="23">
        <f t="shared" si="15"/>
        <v>26028.86</v>
      </c>
      <c r="X37" s="23">
        <f t="shared" si="16"/>
        <v>256089.22999999998</v>
      </c>
      <c r="Y37" s="8">
        <f t="shared" si="17"/>
        <v>0.10163980734371376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0</v>
      </c>
      <c r="I38" s="19">
        <v>13750</v>
      </c>
      <c r="J38" s="8">
        <f t="shared" si="11"/>
        <v>0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0</v>
      </c>
      <c r="X38" s="23">
        <f t="shared" si="16"/>
        <v>13750</v>
      </c>
      <c r="Y38" s="8">
        <f t="shared" si="17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35373.01</v>
      </c>
      <c r="H40" s="23">
        <v>66560.03</v>
      </c>
      <c r="I40" s="19">
        <v>415645.23</v>
      </c>
      <c r="J40" s="8">
        <f t="shared" si="11"/>
        <v>0.16013663864252695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35373.01</v>
      </c>
      <c r="W40" s="23">
        <f t="shared" si="15"/>
        <v>66560.03</v>
      </c>
      <c r="X40" s="23">
        <f t="shared" si="16"/>
        <v>415645.23</v>
      </c>
      <c r="Y40" s="8">
        <f t="shared" si="17"/>
        <v>0.16013663864252695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1665.82</v>
      </c>
      <c r="H42" s="23">
        <v>3407.38</v>
      </c>
      <c r="I42" s="19">
        <v>18525</v>
      </c>
      <c r="J42" s="8">
        <f t="shared" si="11"/>
        <v>0.18393414304993252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1665.82</v>
      </c>
      <c r="W42" s="23">
        <f t="shared" si="15"/>
        <v>3407.38</v>
      </c>
      <c r="X42" s="23">
        <f t="shared" si="16"/>
        <v>18525</v>
      </c>
      <c r="Y42" s="8">
        <f t="shared" si="17"/>
        <v>0.18393414304993252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26028.189999999995</v>
      </c>
      <c r="H46" s="23">
        <v>54279.37999999999</v>
      </c>
      <c r="I46" s="19">
        <v>170665.9</v>
      </c>
      <c r="J46" s="8">
        <f t="shared" si="11"/>
        <v>0.31804467090379501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26028.189999999995</v>
      </c>
      <c r="W46" s="23">
        <f t="shared" si="15"/>
        <v>54279.37999999999</v>
      </c>
      <c r="X46" s="23">
        <f t="shared" si="16"/>
        <v>170665.9</v>
      </c>
      <c r="Y46" s="8">
        <f t="shared" si="17"/>
        <v>0.31804467090379501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2610.1799999999998</v>
      </c>
      <c r="R51" s="23">
        <v>9847.1200000000008</v>
      </c>
      <c r="S51" s="23">
        <v>0</v>
      </c>
      <c r="T51" s="8" t="str">
        <f t="shared" si="13"/>
        <v>%</v>
      </c>
      <c r="U51" s="29"/>
      <c r="V51" s="23">
        <f t="shared" si="14"/>
        <v>2610.1799999999998</v>
      </c>
      <c r="W51" s="23">
        <f t="shared" si="15"/>
        <v>9847.1200000000008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309704.36</v>
      </c>
      <c r="H52" s="57">
        <f>SUM(H36:H51)</f>
        <v>392760.76</v>
      </c>
      <c r="I52" s="57">
        <f>SUM(I36:I51)</f>
        <v>3768787.8099999996</v>
      </c>
      <c r="J52" s="31">
        <f>IF(I52=0,"",H52/I52)</f>
        <v>0.10421408150330438</v>
      </c>
      <c r="K52" s="29"/>
      <c r="L52" s="57">
        <f>SUM(L36:L50)</f>
        <v>16941.11</v>
      </c>
      <c r="M52" s="57">
        <f>SUM(M36:M50)</f>
        <v>16941.11</v>
      </c>
      <c r="N52" s="57">
        <f>SUM(N36:N50)</f>
        <v>218997.22</v>
      </c>
      <c r="O52" s="31">
        <f>IF(N52=0,"",M52/N52)</f>
        <v>7.7357648649603858E-2</v>
      </c>
      <c r="P52" s="29"/>
      <c r="Q52" s="57">
        <f>SUM(Q36:Q51)</f>
        <v>2610.1799999999998</v>
      </c>
      <c r="R52" s="57">
        <f>SUM(R36:R51)</f>
        <v>9847.1200000000008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329255.65000000002</v>
      </c>
      <c r="W52" s="57">
        <f>SUM(W36:W51)</f>
        <v>419548.99</v>
      </c>
      <c r="X52" s="57">
        <f>SUM(X36:X51)</f>
        <v>3987785.0299999993</v>
      </c>
      <c r="Y52" s="31">
        <f>IF(X52=0,"",W52/X52)</f>
        <v>0.10520852725102889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48330.97000000003</v>
      </c>
      <c r="H53" s="58">
        <f>H32-H52</f>
        <v>332419.84999999998</v>
      </c>
      <c r="I53" s="58">
        <f>I32-I52</f>
        <v>339983.19000000041</v>
      </c>
      <c r="J53" s="31">
        <f>IF(I53=0,"",H53/I53)</f>
        <v>0.97775378247377343</v>
      </c>
      <c r="K53" s="29"/>
      <c r="L53" s="58">
        <f>L32-L52</f>
        <v>0</v>
      </c>
      <c r="M53" s="58">
        <f>M32-M52</f>
        <v>0</v>
      </c>
      <c r="N53" s="58">
        <f>N32-N52</f>
        <v>0</v>
      </c>
      <c r="O53" s="31" t="str">
        <f>IF(N53=0,"",M53/N53)</f>
        <v/>
      </c>
      <c r="P53" s="29"/>
      <c r="Q53" s="58">
        <f>Q32-Q52</f>
        <v>12274.84</v>
      </c>
      <c r="R53" s="58">
        <f>R32-R52</f>
        <v>5037.8999999999996</v>
      </c>
      <c r="S53" s="58">
        <f>S32-S52</f>
        <v>0</v>
      </c>
      <c r="T53" s="31" t="str">
        <f>IF(S53=0,"",R53/S53)</f>
        <v/>
      </c>
      <c r="U53" s="29"/>
      <c r="V53" s="58">
        <f>V32-V52</f>
        <v>60605.81</v>
      </c>
      <c r="W53" s="58">
        <f>W32-W52</f>
        <v>337457.75000000012</v>
      </c>
      <c r="X53" s="58">
        <f>X32-X52</f>
        <v>339983.19000000134</v>
      </c>
      <c r="Y53" s="31">
        <f>IF(X53=0,"",W53/X53)</f>
        <v>0.99257186803853092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27666</v>
      </c>
      <c r="H57" s="23">
        <v>60978.95</v>
      </c>
      <c r="I57" s="19">
        <v>462317.8</v>
      </c>
      <c r="J57" s="8">
        <f>IF(I57=0,"%",H57/I57)</f>
        <v>0.13189833919438101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8"/>
        <v>27666</v>
      </c>
      <c r="W57" s="66">
        <f t="shared" si="18"/>
        <v>60978.95</v>
      </c>
      <c r="X57" s="59">
        <f t="shared" si="18"/>
        <v>462317.8</v>
      </c>
      <c r="Y57" s="8">
        <f>IF(X57=0,"%",W57/X57)</f>
        <v>0.13189833919438101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27666</v>
      </c>
      <c r="H58" s="57">
        <f>SUM(H56-H57)</f>
        <v>-60978.95</v>
      </c>
      <c r="I58" s="57">
        <f>SUM(I56:I57)</f>
        <v>584653.80000000005</v>
      </c>
      <c r="J58" s="31">
        <f>IF(I58=0,"",H58/I58)</f>
        <v>-0.10429924512591895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27666</v>
      </c>
      <c r="W58" s="57">
        <f>W56-W57</f>
        <v>-60978.95</v>
      </c>
      <c r="X58" s="57">
        <f>SUM(X56:X57)</f>
        <v>584653.80000000005</v>
      </c>
      <c r="Y58" s="31">
        <f>IF(X58=0,"",W58/X58)</f>
        <v>-0.10429924512591895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271440.89999999997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5037.8999999999996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276478.8000000001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271440.89999999997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5037.8999999999996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276478.8000000001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85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E3" zoomScale="80" zoomScaleNormal="80" zoomScaleSheetLayoutView="50" zoomScalePageLayoutView="40" workbookViewId="0">
      <selection activeCell="S31" sqref="S3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6" t="s">
        <v>54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1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31" t="s">
        <v>55</v>
      </c>
      <c r="W11" s="132"/>
      <c r="X11" s="132"/>
      <c r="Y11" s="133"/>
      <c r="Z11" s="9"/>
      <c r="AA11" s="127" t="s">
        <v>9</v>
      </c>
      <c r="AB11" s="128"/>
      <c r="AC11" s="128"/>
      <c r="AD11" s="130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31549.800000000003</v>
      </c>
      <c r="M17" s="19">
        <v>31549.800000000003</v>
      </c>
      <c r="N17" s="19">
        <v>341252.17</v>
      </c>
      <c r="O17" s="8">
        <f>IF(N17=0,"%",M17/N17)</f>
        <v>9.2453038467125367E-2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31549.800000000003</v>
      </c>
      <c r="AB17" s="23">
        <f t="shared" si="1"/>
        <v>31549.800000000003</v>
      </c>
      <c r="AC17" s="23">
        <f t="shared" si="1"/>
        <v>341252.17</v>
      </c>
      <c r="AD17" s="8">
        <f>IF(AC17=0,"%",AB17/AC17)</f>
        <v>9.2453038467125367E-2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367809.18</v>
      </c>
      <c r="H19" s="19">
        <v>737373.92</v>
      </c>
      <c r="I19" s="19">
        <v>4095784</v>
      </c>
      <c r="J19" s="20">
        <f t="shared" si="2"/>
        <v>0.18003242358483748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367809.18</v>
      </c>
      <c r="AB19" s="23">
        <f>H19+M19+R19</f>
        <v>737373.92</v>
      </c>
      <c r="AC19" s="23">
        <f>I19+N19+S19</f>
        <v>4095784</v>
      </c>
      <c r="AD19" s="8">
        <f t="shared" ref="AD19:AD24" si="6">IF(AC19=0,"%",AB19/AC19)</f>
        <v>0.18003242358483748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371687</v>
      </c>
      <c r="Y20" s="8">
        <f>IF(X20=0,"%",W20/X20)</f>
        <v>0</v>
      </c>
      <c r="Z20" s="26"/>
      <c r="AA20" s="23">
        <f>G20+L20+Q20+V20</f>
        <v>0</v>
      </c>
      <c r="AB20" s="23">
        <f>H20+M20+R20+W20</f>
        <v>0</v>
      </c>
      <c r="AC20" s="23">
        <f>I20+N20+S20+X20</f>
        <v>371687</v>
      </c>
      <c r="AD20" s="8">
        <f>IF(AC20=0,"%",AB20/AC20)</f>
        <v>0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20185.45</v>
      </c>
      <c r="H21" s="19">
        <v>40370.9</v>
      </c>
      <c r="I21" s="19">
        <v>222040</v>
      </c>
      <c r="J21" s="20">
        <f t="shared" si="2"/>
        <v>0.18181814087551793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20185.45</v>
      </c>
      <c r="AB21" s="23">
        <f t="shared" si="7"/>
        <v>40370.9</v>
      </c>
      <c r="AC21" s="23">
        <f t="shared" si="7"/>
        <v>222040</v>
      </c>
      <c r="AD21" s="8">
        <f>IF(AC21=0,"%",AB21/AC21)</f>
        <v>0.18181814087551793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52570.18</v>
      </c>
      <c r="H22" s="19">
        <v>105140.36</v>
      </c>
      <c r="I22" s="19">
        <v>582812</v>
      </c>
      <c r="J22" s="20">
        <f t="shared" si="2"/>
        <v>0.1804018448487677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52570.18</v>
      </c>
      <c r="AB22" s="23">
        <f t="shared" si="7"/>
        <v>105140.36</v>
      </c>
      <c r="AC22" s="23">
        <f t="shared" si="7"/>
        <v>582812</v>
      </c>
      <c r="AD22" s="8">
        <f t="shared" si="6"/>
        <v>0.1804018448487677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7500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7500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9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47032.18</v>
      </c>
      <c r="I27" s="19">
        <v>256626</v>
      </c>
      <c r="J27" s="20">
        <f t="shared" si="2"/>
        <v>0.18327129753025803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47032.18</v>
      </c>
      <c r="AC27" s="23">
        <f t="shared" si="11"/>
        <v>256626</v>
      </c>
      <c r="AD27" s="8">
        <f t="shared" si="12"/>
        <v>0.18327129753025803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8"/>
        <v>%</v>
      </c>
      <c r="P31" s="29"/>
      <c r="Q31" s="23">
        <v>36429.78</v>
      </c>
      <c r="R31" s="23">
        <v>40467.86</v>
      </c>
      <c r="S31" s="19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36429.78</v>
      </c>
      <c r="AB31" s="23">
        <f t="shared" si="11"/>
        <v>40467.86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464448.9</v>
      </c>
      <c r="H32" s="57">
        <f>SUM(H16:H31)</f>
        <v>937417.3600000001</v>
      </c>
      <c r="I32" s="57">
        <f>SUM(I16:I31)</f>
        <v>5271408</v>
      </c>
      <c r="J32" s="31">
        <f>IF(I32=0,"",H32/I32)</f>
        <v>0.17783054546337526</v>
      </c>
      <c r="K32" s="29"/>
      <c r="L32" s="57">
        <f>SUM(L16:L31)</f>
        <v>31549.800000000003</v>
      </c>
      <c r="M32" s="57">
        <f>SUM(M16:M31)</f>
        <v>31549.800000000003</v>
      </c>
      <c r="N32" s="57">
        <f>SUM(N16:N31)</f>
        <v>341252.17</v>
      </c>
      <c r="O32" s="31">
        <f>IF(N32=0,"",M32/N32)</f>
        <v>9.2453038467125367E-2</v>
      </c>
      <c r="P32" s="29"/>
      <c r="Q32" s="57">
        <f>SUM(Q16:Q31)</f>
        <v>36429.78</v>
      </c>
      <c r="R32" s="57">
        <f>SUM(R16:R31)</f>
        <v>40467.86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0</v>
      </c>
      <c r="W32" s="57">
        <f>SUM(W16:W31)</f>
        <v>0</v>
      </c>
      <c r="X32" s="57">
        <f>SUM(X16:X31)</f>
        <v>371687</v>
      </c>
      <c r="Y32" s="31">
        <f>IF(X32=0,"",W32/X32)</f>
        <v>0</v>
      </c>
      <c r="Z32" s="29"/>
      <c r="AA32" s="57">
        <f>SUM(AA16:AA31)</f>
        <v>532428.48</v>
      </c>
      <c r="AB32" s="57">
        <f>SUM(AB16:AB31)</f>
        <v>1009435.0200000001</v>
      </c>
      <c r="AC32" s="57">
        <f>SUM(AC16:AC31)</f>
        <v>5984347.1699999999</v>
      </c>
      <c r="AD32" s="31">
        <f>IF(AC32=0,"",AB32/AC32)</f>
        <v>0.16867922119565135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229969.14999999997</v>
      </c>
      <c r="H36" s="19">
        <v>233686.47999999998</v>
      </c>
      <c r="I36" s="19">
        <v>3113780.1</v>
      </c>
      <c r="J36" s="8">
        <f t="shared" ref="J36:J51" si="13">IF(I36=0,"%",H36/I36)</f>
        <v>7.5049127586113096E-2</v>
      </c>
      <c r="K36" s="29"/>
      <c r="L36" s="19">
        <v>17986.670000000002</v>
      </c>
      <c r="M36" s="19">
        <v>17986.670000000002</v>
      </c>
      <c r="N36" s="19">
        <v>123735.03999999998</v>
      </c>
      <c r="O36" s="8">
        <f t="shared" ref="O36:O51" si="14">IF(N36=0,"%",M36/N36)</f>
        <v>0.14536440122377625</v>
      </c>
      <c r="P36" s="29"/>
      <c r="Q36" s="23">
        <v>0</v>
      </c>
      <c r="R36" s="23">
        <v>0</v>
      </c>
      <c r="S36" s="23">
        <v>0</v>
      </c>
      <c r="T36" s="8" t="str">
        <f t="shared" ref="T36:T51" si="15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247955.81999999998</v>
      </c>
      <c r="AB36" s="23">
        <f>H36+M36+R36+W36</f>
        <v>251673.15</v>
      </c>
      <c r="AC36" s="23">
        <f>I36+N36+S36+X36</f>
        <v>3237515.14</v>
      </c>
      <c r="AD36" s="8">
        <f t="shared" ref="AD36:AD51" si="17">IF(AC36=0,"%",AB36/AC36)</f>
        <v>7.7736516778111497E-2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7863.84</v>
      </c>
      <c r="H37" s="19">
        <v>12259.339999999998</v>
      </c>
      <c r="I37" s="19">
        <v>128394.91</v>
      </c>
      <c r="J37" s="8">
        <f t="shared" si="13"/>
        <v>9.5481510910362402E-2</v>
      </c>
      <c r="K37" s="29"/>
      <c r="L37" s="23">
        <v>13563.130000000001</v>
      </c>
      <c r="M37" s="23">
        <v>13563.130000000001</v>
      </c>
      <c r="N37" s="23">
        <v>217517.13</v>
      </c>
      <c r="O37" s="8">
        <f t="shared" si="14"/>
        <v>6.2354307451555659E-2</v>
      </c>
      <c r="P37" s="29"/>
      <c r="Q37" s="23">
        <v>0</v>
      </c>
      <c r="R37" s="23">
        <v>0</v>
      </c>
      <c r="S37" s="23">
        <v>0</v>
      </c>
      <c r="T37" s="8" t="str">
        <f t="shared" si="15"/>
        <v>%</v>
      </c>
      <c r="U37" s="29"/>
      <c r="V37" s="23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21426.97</v>
      </c>
      <c r="AB37" s="23">
        <f t="shared" ref="AB37:AB51" si="19">H37+M37+R37+W37</f>
        <v>25822.47</v>
      </c>
      <c r="AC37" s="23">
        <f t="shared" ref="AC37:AC51" si="20">I37+N37+S37+X37</f>
        <v>345912.04000000004</v>
      </c>
      <c r="AD37" s="8">
        <f t="shared" si="17"/>
        <v>7.4650393782188088E-2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13250</v>
      </c>
      <c r="J38" s="8">
        <f t="shared" si="13"/>
        <v>0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0</v>
      </c>
      <c r="AB38" s="23">
        <f t="shared" si="19"/>
        <v>0</v>
      </c>
      <c r="AC38" s="23">
        <f t="shared" si="20"/>
        <v>13250</v>
      </c>
      <c r="AD38" s="8">
        <f t="shared" si="17"/>
        <v>0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54791.669999999991</v>
      </c>
      <c r="H40" s="19">
        <v>91904.74</v>
      </c>
      <c r="I40" s="19">
        <v>680602.78</v>
      </c>
      <c r="J40" s="8">
        <f t="shared" si="13"/>
        <v>0.13503432942192803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54791.669999999991</v>
      </c>
      <c r="AB40" s="23">
        <f t="shared" si="19"/>
        <v>91904.74</v>
      </c>
      <c r="AC40" s="23">
        <f t="shared" si="20"/>
        <v>680602.78</v>
      </c>
      <c r="AD40" s="8">
        <f t="shared" si="17"/>
        <v>0.13503432942192803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4555.13</v>
      </c>
      <c r="I42" s="19">
        <v>24960</v>
      </c>
      <c r="J42" s="8">
        <f t="shared" si="13"/>
        <v>0.18249719551282051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4555.13</v>
      </c>
      <c r="AC42" s="23">
        <f t="shared" si="20"/>
        <v>24960</v>
      </c>
      <c r="AD42" s="8">
        <f t="shared" si="17"/>
        <v>0.18249719551282051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500</v>
      </c>
      <c r="J45" s="8">
        <f t="shared" si="13"/>
        <v>0</v>
      </c>
      <c r="K45" s="29"/>
      <c r="L45" s="19">
        <v>0</v>
      </c>
      <c r="M45" s="19">
        <v>0</v>
      </c>
      <c r="N45" s="19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500</v>
      </c>
      <c r="AD45" s="8">
        <f t="shared" si="17"/>
        <v>0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36580.139999999992</v>
      </c>
      <c r="H46" s="19">
        <v>177364.93000000005</v>
      </c>
      <c r="I46" s="19">
        <v>341120.17</v>
      </c>
      <c r="J46" s="8">
        <f t="shared" si="13"/>
        <v>0.51994852723015483</v>
      </c>
      <c r="K46" s="29"/>
      <c r="L46" s="19">
        <v>0</v>
      </c>
      <c r="M46" s="19">
        <v>0</v>
      </c>
      <c r="N46" s="19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36580.139999999992</v>
      </c>
      <c r="AB46" s="23">
        <f t="shared" si="19"/>
        <v>177364.93000000005</v>
      </c>
      <c r="AC46" s="23">
        <f t="shared" si="20"/>
        <v>341120.17</v>
      </c>
      <c r="AD46" s="8">
        <f t="shared" si="17"/>
        <v>0.51994852723015483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f>3700+2303</f>
        <v>6003</v>
      </c>
      <c r="W47" s="23">
        <f>32165.27+11633</f>
        <v>43798.270000000004</v>
      </c>
      <c r="X47" s="23">
        <v>82687</v>
      </c>
      <c r="Y47" s="8">
        <f>IF(X47=0,"%",W47/X47)</f>
        <v>0.52968749622068767</v>
      </c>
      <c r="Z47" s="29"/>
      <c r="AA47" s="23">
        <f t="shared" si="18"/>
        <v>6003</v>
      </c>
      <c r="AB47" s="23">
        <f t="shared" si="19"/>
        <v>43798.270000000004</v>
      </c>
      <c r="AC47" s="23">
        <f t="shared" si="20"/>
        <v>82687</v>
      </c>
      <c r="AD47" s="8">
        <f t="shared" si="17"/>
        <v>0.52968749622068767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19">
        <v>5365.2</v>
      </c>
      <c r="J49" s="8">
        <f t="shared" si="13"/>
        <v>0</v>
      </c>
      <c r="K49" s="29"/>
      <c r="L49" s="19">
        <v>0</v>
      </c>
      <c r="M49" s="19">
        <v>0</v>
      </c>
      <c r="N49" s="19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5365.2</v>
      </c>
      <c r="AD49" s="8">
        <f t="shared" si="17"/>
        <v>0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24011.08</v>
      </c>
      <c r="W50" s="23">
        <v>48022.16</v>
      </c>
      <c r="X50" s="23">
        <v>289000</v>
      </c>
      <c r="Y50" s="8">
        <f t="shared" si="16"/>
        <v>0.16616664359861594</v>
      </c>
      <c r="Z50" s="29"/>
      <c r="AA50" s="23">
        <f t="shared" si="18"/>
        <v>24011.08</v>
      </c>
      <c r="AB50" s="23">
        <f t="shared" si="19"/>
        <v>48022.16</v>
      </c>
      <c r="AC50" s="23">
        <f t="shared" si="20"/>
        <v>289000</v>
      </c>
      <c r="AD50" s="8">
        <f t="shared" si="17"/>
        <v>0.16616664359861594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25228.44</v>
      </c>
      <c r="R51" s="23">
        <v>32790.25</v>
      </c>
      <c r="S51" s="19">
        <v>0</v>
      </c>
      <c r="T51" s="8" t="str">
        <f t="shared" si="15"/>
        <v>%</v>
      </c>
      <c r="U51" s="29"/>
      <c r="V51" s="23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25228.44</v>
      </c>
      <c r="AB51" s="23">
        <f t="shared" si="19"/>
        <v>32790.25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331431.74</v>
      </c>
      <c r="H52" s="57">
        <f>SUM(H36:H51)</f>
        <v>519770.62000000005</v>
      </c>
      <c r="I52" s="57">
        <f>SUM(I36:I51)</f>
        <v>4307973.16</v>
      </c>
      <c r="J52" s="31">
        <f>IF(I52=0,"",H52/I52)</f>
        <v>0.12065317045754297</v>
      </c>
      <c r="K52" s="29"/>
      <c r="L52" s="57">
        <f>SUM(L36:L50)</f>
        <v>31549.800000000003</v>
      </c>
      <c r="M52" s="57">
        <f>SUM(M36:M50)</f>
        <v>31549.800000000003</v>
      </c>
      <c r="N52" s="57">
        <f>SUM(N36:N50)</f>
        <v>341252.17</v>
      </c>
      <c r="O52" s="31">
        <f>IF(N52=0,"",M52/N52)</f>
        <v>9.2453038467125367E-2</v>
      </c>
      <c r="P52" s="29"/>
      <c r="Q52" s="57">
        <f>SUM(Q36:Q51)</f>
        <v>25228.44</v>
      </c>
      <c r="R52" s="57">
        <f>SUM(R36:R51)</f>
        <v>32790.25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30014.080000000002</v>
      </c>
      <c r="W52" s="57">
        <f>SUM(W36:W51)</f>
        <v>91820.430000000008</v>
      </c>
      <c r="X52" s="57">
        <f>SUM(X36:X51)</f>
        <v>371687</v>
      </c>
      <c r="Y52" s="31">
        <f>IF(X52=0,"",W52/X52)</f>
        <v>0.24703696927791396</v>
      </c>
      <c r="Z52" s="29"/>
      <c r="AA52" s="57">
        <f>SUM(AA36:AA51)</f>
        <v>418224.06</v>
      </c>
      <c r="AB52" s="57">
        <f>SUM(AB36:AB51)</f>
        <v>675931.10000000009</v>
      </c>
      <c r="AC52" s="57">
        <f>SUM(AC36:AC51)</f>
        <v>5020912.33</v>
      </c>
      <c r="AD52" s="31">
        <f>IF(AC52=0,"",AB52/AC52)</f>
        <v>0.13462316319711562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133017.16000000003</v>
      </c>
      <c r="H53" s="57">
        <f>H32-H52</f>
        <v>417646.74000000005</v>
      </c>
      <c r="I53" s="57">
        <f>I32-I52</f>
        <v>963434.83999999985</v>
      </c>
      <c r="J53" s="31">
        <f>IF(I53=0,"",H53/I53)</f>
        <v>0.43349765096724147</v>
      </c>
      <c r="K53" s="29"/>
      <c r="L53" s="57">
        <f>L32-L52</f>
        <v>0</v>
      </c>
      <c r="M53" s="57">
        <f>M32-M52</f>
        <v>0</v>
      </c>
      <c r="N53" s="57">
        <f>N32-N52</f>
        <v>0</v>
      </c>
      <c r="O53" s="31" t="str">
        <f>IF(N53=0,"",M53/N53)</f>
        <v/>
      </c>
      <c r="P53" s="29"/>
      <c r="Q53" s="57">
        <f>Q32-Q52</f>
        <v>11201.34</v>
      </c>
      <c r="R53" s="57">
        <f>R32-R52</f>
        <v>7677.6100000000006</v>
      </c>
      <c r="S53" s="57">
        <f>S32-S52</f>
        <v>0</v>
      </c>
      <c r="T53" s="31" t="str">
        <f>IF(S53=0,"",R53/S53)</f>
        <v/>
      </c>
      <c r="U53" s="29"/>
      <c r="V53" s="57">
        <f>V32-V52</f>
        <v>-30014.080000000002</v>
      </c>
      <c r="W53" s="57">
        <f>W32-W52</f>
        <v>-91820.430000000008</v>
      </c>
      <c r="X53" s="57">
        <f>X32-X52</f>
        <v>0</v>
      </c>
      <c r="Y53" s="31" t="str">
        <f>IF(X53=0,"",W53/X53)</f>
        <v/>
      </c>
      <c r="Z53" s="29"/>
      <c r="AA53" s="57">
        <f>AA32-AA52</f>
        <v>114204.41999999998</v>
      </c>
      <c r="AB53" s="57">
        <f>AB32-AB52</f>
        <v>333503.92000000004</v>
      </c>
      <c r="AC53" s="57">
        <f>AC32-AC52</f>
        <v>963434.83999999985</v>
      </c>
      <c r="AD53" s="31">
        <f>IF(AC53=0,"",AB53/AC53)</f>
        <v>0.34616136572349832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61078.51</v>
      </c>
      <c r="H57" s="19">
        <v>127299.53</v>
      </c>
      <c r="I57" s="19">
        <v>1050760.8</v>
      </c>
      <c r="J57" s="8">
        <f>IF(I57=0,"%",H57/I57)</f>
        <v>0.12114986588765016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61078.51</v>
      </c>
      <c r="AB57" s="59">
        <f t="shared" si="21"/>
        <v>127299.53</v>
      </c>
      <c r="AC57" s="59">
        <f t="shared" si="21"/>
        <v>1050760.8</v>
      </c>
      <c r="AD57" s="8">
        <f>IF(AC57=0,"%",AB57/AC57)</f>
        <v>0.12114986588765016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61078.51</v>
      </c>
      <c r="H58" s="57">
        <f>SUM(H56-H57)</f>
        <v>-127299.53</v>
      </c>
      <c r="I58" s="57">
        <f>SUM(I56:I57)</f>
        <v>1138086.8</v>
      </c>
      <c r="J58" s="31">
        <f>IF(I58=0,"",H58/I58)</f>
        <v>-0.11185397282527132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61078.51</v>
      </c>
      <c r="AB58" s="57">
        <f>AB56-AB57</f>
        <v>-127299.53</v>
      </c>
      <c r="AC58" s="57">
        <f>SUM(AC56:AC57)</f>
        <v>1138086.8</v>
      </c>
      <c r="AD58" s="31">
        <f>IF(AC58=0,"",AB58/AC58)</f>
        <v>-0.11185397282527132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290347.21000000008</v>
      </c>
      <c r="I60" s="59"/>
      <c r="J60" s="8" t="str">
        <f>IF(I60=0,"",H60/I60)</f>
        <v/>
      </c>
      <c r="K60" s="29"/>
      <c r="L60" s="59"/>
      <c r="M60" s="59">
        <f>M32-M52+M58</f>
        <v>0</v>
      </c>
      <c r="N60" s="59"/>
      <c r="O60" s="29"/>
      <c r="P60" s="29"/>
      <c r="Q60" s="59"/>
      <c r="R60" s="59">
        <f>R32-R52+R58</f>
        <v>7677.6100000000006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-91820.430000000008</v>
      </c>
      <c r="X60" s="59">
        <f>X32-X52+X58</f>
        <v>0</v>
      </c>
      <c r="Y60" s="29"/>
      <c r="Z60" s="29"/>
      <c r="AA60" s="59"/>
      <c r="AB60" s="59">
        <f>AB32-AB52+AB58</f>
        <v>206204.39000000004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290347.21000000008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0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7677.6100000000006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-91820.430000000008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206204.39000000004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99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E3" zoomScale="80" zoomScaleNormal="80" zoomScaleSheetLayoutView="50" zoomScalePageLayoutView="40" workbookViewId="0">
      <selection activeCell="O24" sqref="O24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6.28515625" style="4" customWidth="1"/>
    <col min="21" max="21" width="2.42578125" style="4" customWidth="1"/>
    <col min="22" max="22" width="16.7109375" style="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6" t="s">
        <v>56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1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31" t="s">
        <v>55</v>
      </c>
      <c r="W11" s="132"/>
      <c r="X11" s="132"/>
      <c r="Y11" s="133"/>
      <c r="Z11" s="9"/>
      <c r="AA11" s="127" t="s">
        <v>9</v>
      </c>
      <c r="AB11" s="128"/>
      <c r="AC11" s="128"/>
      <c r="AD11" s="130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38198.94</v>
      </c>
      <c r="M17" s="19">
        <v>38198.94</v>
      </c>
      <c r="N17" s="19">
        <v>354543.58</v>
      </c>
      <c r="O17" s="8">
        <f>IF(N17=0,"%",M17/N17)</f>
        <v>0.10774116964690209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38198.94</v>
      </c>
      <c r="AB17" s="23">
        <f t="shared" si="1"/>
        <v>38198.94</v>
      </c>
      <c r="AC17" s="23">
        <f t="shared" si="1"/>
        <v>354543.58</v>
      </c>
      <c r="AD17" s="8">
        <f>IF(AC17=0,"%",AB17/AC17)</f>
        <v>0.10774116964690209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378566.63</v>
      </c>
      <c r="H19" s="19">
        <v>758965.82</v>
      </c>
      <c r="I19" s="19">
        <v>4757900</v>
      </c>
      <c r="J19" s="20">
        <f t="shared" si="2"/>
        <v>0.15951697597679648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378566.63</v>
      </c>
      <c r="AB19" s="23">
        <f>H19+M19+R19</f>
        <v>758965.82</v>
      </c>
      <c r="AC19" s="23">
        <f>I19+N19+S19</f>
        <v>4757900</v>
      </c>
      <c r="AD19" s="8">
        <f t="shared" ref="AD19:AD24" si="6">IF(AC19=0,"%",AB19/AC19)</f>
        <v>0.15951697597679648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0</v>
      </c>
      <c r="W20" s="23">
        <v>0</v>
      </c>
      <c r="X20" s="19">
        <v>417168</v>
      </c>
      <c r="Y20" s="8">
        <f t="shared" si="5"/>
        <v>0</v>
      </c>
      <c r="Z20" s="26"/>
      <c r="AA20" s="23">
        <f>G20+L20+Q20+V20</f>
        <v>0</v>
      </c>
      <c r="AB20" s="23">
        <f>H20+M20+R20+W20</f>
        <v>0</v>
      </c>
      <c r="AC20" s="23">
        <f>I20+N20+S20+X20</f>
        <v>417168</v>
      </c>
      <c r="AD20" s="8">
        <f>IF(AC20=0,"%",AB20/AC20)</f>
        <v>0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17808.64</v>
      </c>
      <c r="H21" s="19">
        <v>35617.279999999999</v>
      </c>
      <c r="I21" s="19">
        <v>195895</v>
      </c>
      <c r="J21" s="20">
        <f t="shared" si="2"/>
        <v>0.18181821894382194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17808.64</v>
      </c>
      <c r="AB21" s="23">
        <f t="shared" si="7"/>
        <v>35617.279999999999</v>
      </c>
      <c r="AC21" s="23">
        <f t="shared" si="7"/>
        <v>195895</v>
      </c>
      <c r="AD21" s="8">
        <f>IF(AC21=0,"%",AB21/AC21)</f>
        <v>0.18181821894382194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54876.639999999999</v>
      </c>
      <c r="H22" s="19">
        <v>109753.28</v>
      </c>
      <c r="I22" s="19">
        <v>677570</v>
      </c>
      <c r="J22" s="20">
        <f t="shared" si="2"/>
        <v>0.16198072523872073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54876.639999999999</v>
      </c>
      <c r="AB22" s="23">
        <f t="shared" si="7"/>
        <v>109753.28</v>
      </c>
      <c r="AC22" s="23">
        <f t="shared" si="7"/>
        <v>677570</v>
      </c>
      <c r="AD22" s="8">
        <f t="shared" si="6"/>
        <v>0.16198072523872073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6000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0</v>
      </c>
      <c r="X24" s="19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6000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23"/>
      <c r="R25" s="23"/>
      <c r="S25" s="23"/>
      <c r="T25" s="8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2" si="9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48289.88</v>
      </c>
      <c r="I27" s="19">
        <v>294303</v>
      </c>
      <c r="J27" s="20">
        <f t="shared" si="2"/>
        <v>0.16408218740549704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48289.88</v>
      </c>
      <c r="AC27" s="23">
        <f t="shared" si="11"/>
        <v>294303</v>
      </c>
      <c r="AD27" s="8">
        <f t="shared" si="12"/>
        <v>0.16408218740549704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101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0</v>
      </c>
      <c r="AB30" s="23">
        <f>H30+M30+R30+W30</f>
        <v>101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8"/>
        <v>%</v>
      </c>
      <c r="P31" s="29"/>
      <c r="Q31" s="23">
        <v>0</v>
      </c>
      <c r="R31" s="23">
        <v>0</v>
      </c>
      <c r="S31" s="23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8"/>
        <v>%</v>
      </c>
      <c r="P32" s="29"/>
      <c r="Q32" s="23">
        <v>25329</v>
      </c>
      <c r="R32" s="23">
        <v>27164.66</v>
      </c>
      <c r="S32" s="23">
        <v>0</v>
      </c>
      <c r="T32" s="8" t="str">
        <f t="shared" si="9"/>
        <v>%</v>
      </c>
      <c r="U32" s="29"/>
      <c r="V32" s="23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25329</v>
      </c>
      <c r="AB32" s="23">
        <f>H32+M32+R32</f>
        <v>27164.66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475774.7</v>
      </c>
      <c r="H33" s="30">
        <f>SUM(H16:H32)</f>
        <v>958727.26</v>
      </c>
      <c r="I33" s="30">
        <f>SUM(I16:I32)</f>
        <v>5925668</v>
      </c>
      <c r="J33" s="31">
        <f>IF(I33=0,"",H33/I33)</f>
        <v>0.16179226713342698</v>
      </c>
      <c r="K33" s="29"/>
      <c r="L33" s="30">
        <f>SUM(L16:L32)</f>
        <v>38198.94</v>
      </c>
      <c r="M33" s="30">
        <f>SUM(M16:M32)</f>
        <v>38198.94</v>
      </c>
      <c r="N33" s="30">
        <f>SUM(N16:N32)</f>
        <v>354543.58</v>
      </c>
      <c r="O33" s="31">
        <f>IF(N33=0,"",M33/N33)</f>
        <v>0.10774116964690209</v>
      </c>
      <c r="P33" s="29"/>
      <c r="Q33" s="30">
        <f>SUM(Q16:Q32)</f>
        <v>25329</v>
      </c>
      <c r="R33" s="30">
        <f>SUM(R16:R32)</f>
        <v>27164.66</v>
      </c>
      <c r="S33" s="30">
        <f>SUM(S16:S32)</f>
        <v>0</v>
      </c>
      <c r="T33" s="31" t="str">
        <f>IF(S33=0,"",R33/S33)</f>
        <v/>
      </c>
      <c r="U33" s="29"/>
      <c r="V33" s="30">
        <f>SUM(V16:V32)</f>
        <v>0</v>
      </c>
      <c r="W33" s="30">
        <f>SUM(W16:W32)</f>
        <v>0</v>
      </c>
      <c r="X33" s="30">
        <f>SUM(X16:X32)</f>
        <v>536472.42000000004</v>
      </c>
      <c r="Y33" s="31">
        <f>IF(X33=0,"",W33/X33)</f>
        <v>0</v>
      </c>
      <c r="Z33" s="29"/>
      <c r="AA33" s="30">
        <f>SUM(AA16:AA32)</f>
        <v>539302.64</v>
      </c>
      <c r="AB33" s="30">
        <f>SUM(AB16:AB32)</f>
        <v>1024090.8600000001</v>
      </c>
      <c r="AC33" s="30">
        <f>SUM(AC16:AC32)</f>
        <v>6697379.5800000001</v>
      </c>
      <c r="AD33" s="31">
        <f>IF(AC33=0,"",AB33/AC33)</f>
        <v>0.15290918601331538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8"/>
      <c r="P36" s="29"/>
      <c r="Q36" s="29"/>
      <c r="R36" s="29"/>
      <c r="S36" s="29"/>
      <c r="T36" s="8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300478.78999999998</v>
      </c>
      <c r="H37" s="19">
        <v>312254.09999999998</v>
      </c>
      <c r="I37" s="19">
        <v>3574658.18</v>
      </c>
      <c r="J37" s="8">
        <f t="shared" ref="J37:J52" si="13">IF(I37=0,"%",H37/I37)</f>
        <v>8.7352156283653379E-2</v>
      </c>
      <c r="K37" s="29"/>
      <c r="L37" s="19">
        <v>-13847.03</v>
      </c>
      <c r="M37" s="19">
        <v>17642.739999999998</v>
      </c>
      <c r="N37" s="19">
        <v>160461.66999999998</v>
      </c>
      <c r="O37" s="8">
        <f t="shared" ref="O37:O52" si="14">IF(N37=0,"%",M37/N37)</f>
        <v>0.10994987151760292</v>
      </c>
      <c r="P37" s="29"/>
      <c r="Q37" s="23">
        <v>0</v>
      </c>
      <c r="R37" s="23">
        <v>0</v>
      </c>
      <c r="S37" s="23">
        <v>0</v>
      </c>
      <c r="T37" s="8" t="str">
        <f t="shared" ref="T37:T52" si="15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286631.75999999995</v>
      </c>
      <c r="AB37" s="23">
        <f>H37+M37+R37+W37</f>
        <v>329896.83999999997</v>
      </c>
      <c r="AC37" s="23">
        <f>I37+N37+S37+X37</f>
        <v>3735119.85</v>
      </c>
      <c r="AD37" s="8">
        <f t="shared" ref="AD37:AD52" si="17">IF(AC37=0,"%",AB37/AC37)</f>
        <v>8.832295970368928E-2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4351.6099999999997</v>
      </c>
      <c r="H38" s="19">
        <v>4418.6099999999997</v>
      </c>
      <c r="I38" s="19">
        <v>54313.98</v>
      </c>
      <c r="J38" s="8">
        <f t="shared" si="13"/>
        <v>8.1353088099969828E-2</v>
      </c>
      <c r="K38" s="29"/>
      <c r="L38" s="23">
        <v>15245.24</v>
      </c>
      <c r="M38" s="23">
        <v>20556.199999999997</v>
      </c>
      <c r="N38" s="23">
        <v>194081.9</v>
      </c>
      <c r="O38" s="8">
        <f t="shared" si="14"/>
        <v>0.1059150801800683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19596.849999999999</v>
      </c>
      <c r="AB38" s="23">
        <f t="shared" ref="AB38:AB50" si="19">H38+M38+R38+W38</f>
        <v>24974.809999999998</v>
      </c>
      <c r="AC38" s="23">
        <f t="shared" ref="AC38:AC52" si="20">I38+N38+S38+X38</f>
        <v>248395.88</v>
      </c>
      <c r="AD38" s="8">
        <f t="shared" si="17"/>
        <v>0.10054438100986215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0</v>
      </c>
      <c r="I39" s="19">
        <v>13250</v>
      </c>
      <c r="J39" s="8">
        <f t="shared" si="13"/>
        <v>0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13250</v>
      </c>
      <c r="AD39" s="8">
        <f t="shared" si="17"/>
        <v>0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57652.62</v>
      </c>
      <c r="H41" s="19">
        <v>90406.930000000008</v>
      </c>
      <c r="I41" s="19">
        <v>676948.39</v>
      </c>
      <c r="J41" s="8">
        <f t="shared" si="13"/>
        <v>0.13355069800815983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57652.62</v>
      </c>
      <c r="AB41" s="23">
        <f t="shared" si="19"/>
        <v>90406.930000000008</v>
      </c>
      <c r="AC41" s="23">
        <f t="shared" si="20"/>
        <v>676948.39</v>
      </c>
      <c r="AD41" s="8">
        <f t="shared" si="17"/>
        <v>0.13355069800815983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474920.61</v>
      </c>
      <c r="W42" s="23">
        <v>1109158.1000000001</v>
      </c>
      <c r="X42" s="23">
        <v>4136594.41</v>
      </c>
      <c r="Y42" s="8">
        <f t="shared" si="16"/>
        <v>0.26813315255628362</v>
      </c>
      <c r="Z42" s="29"/>
      <c r="AA42" s="23">
        <f t="shared" si="18"/>
        <v>474920.61</v>
      </c>
      <c r="AB42" s="23">
        <f>H42+M42+R42+W42</f>
        <v>1109158.1000000001</v>
      </c>
      <c r="AC42" s="23">
        <f t="shared" si="20"/>
        <v>4136594.41</v>
      </c>
      <c r="AD42" s="8">
        <f t="shared" si="17"/>
        <v>0.26813315255628362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4677.08</v>
      </c>
      <c r="I43" s="19">
        <v>28626</v>
      </c>
      <c r="J43" s="8">
        <f t="shared" si="13"/>
        <v>0.16338573324949346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4677.08</v>
      </c>
      <c r="AC43" s="23">
        <f>I43+N43+S43+X43</f>
        <v>30626</v>
      </c>
      <c r="AD43" s="8">
        <f t="shared" si="17"/>
        <v>0.15271599294716906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483.75</v>
      </c>
      <c r="H46" s="19">
        <v>483.75</v>
      </c>
      <c r="I46" s="19">
        <v>12000</v>
      </c>
      <c r="J46" s="8">
        <f t="shared" si="13"/>
        <v>4.0312500000000001E-2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483.75</v>
      </c>
      <c r="AB46" s="23">
        <f t="shared" si="19"/>
        <v>483.75</v>
      </c>
      <c r="AC46" s="23">
        <f t="shared" si="20"/>
        <v>12000</v>
      </c>
      <c r="AD46" s="8">
        <f t="shared" si="17"/>
        <v>4.0312500000000001E-2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34097.820000000007</v>
      </c>
      <c r="H47" s="19">
        <v>170252.77</v>
      </c>
      <c r="I47" s="19">
        <v>530551.88</v>
      </c>
      <c r="J47" s="8">
        <f t="shared" si="13"/>
        <v>0.32089749639563991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0</v>
      </c>
      <c r="W47" s="23">
        <v>0</v>
      </c>
      <c r="X47" s="23">
        <v>0</v>
      </c>
      <c r="Y47" s="8" t="str">
        <f t="shared" si="16"/>
        <v>%</v>
      </c>
      <c r="Z47" s="29"/>
      <c r="AA47" s="23">
        <f t="shared" si="18"/>
        <v>34097.820000000007</v>
      </c>
      <c r="AB47" s="23">
        <f t="shared" si="19"/>
        <v>170252.77</v>
      </c>
      <c r="AC47" s="23">
        <f t="shared" si="20"/>
        <v>530551.88</v>
      </c>
      <c r="AD47" s="8">
        <f t="shared" si="17"/>
        <v>0.32089749639563991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0</v>
      </c>
      <c r="H50" s="19">
        <v>0</v>
      </c>
      <c r="I50" s="19">
        <v>24318.2</v>
      </c>
      <c r="J50" s="8">
        <f t="shared" si="13"/>
        <v>0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0</v>
      </c>
      <c r="AB50" s="23">
        <f t="shared" si="19"/>
        <v>0</v>
      </c>
      <c r="AC50" s="23">
        <f t="shared" si="20"/>
        <v>24318.2</v>
      </c>
      <c r="AD50" s="8">
        <f t="shared" si="17"/>
        <v>0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0</v>
      </c>
      <c r="R51" s="23">
        <v>0</v>
      </c>
      <c r="S51" s="23">
        <v>0</v>
      </c>
      <c r="T51" s="8" t="str">
        <f t="shared" si="15"/>
        <v>%</v>
      </c>
      <c r="U51" s="29"/>
      <c r="V51" s="23">
        <v>73666.06</v>
      </c>
      <c r="W51" s="23">
        <v>110499.09</v>
      </c>
      <c r="X51" s="23">
        <v>475845</v>
      </c>
      <c r="Y51" s="8">
        <f t="shared" si="16"/>
        <v>0.23221656211581501</v>
      </c>
      <c r="Z51" s="29"/>
      <c r="AA51" s="23">
        <f t="shared" si="18"/>
        <v>73666.06</v>
      </c>
      <c r="AB51" s="23">
        <f>H51+M51+R51+W51</f>
        <v>110499.09</v>
      </c>
      <c r="AC51" s="23">
        <f t="shared" si="20"/>
        <v>475845</v>
      </c>
      <c r="AD51" s="8">
        <f t="shared" si="17"/>
        <v>0.23221656211581501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8" t="str">
        <f t="shared" si="14"/>
        <v>%</v>
      </c>
      <c r="P52" s="29"/>
      <c r="Q52" s="23">
        <v>5309.44</v>
      </c>
      <c r="R52" s="23">
        <v>8147.54</v>
      </c>
      <c r="S52" s="23">
        <v>0</v>
      </c>
      <c r="T52" s="8" t="str">
        <f t="shared" si="15"/>
        <v>%</v>
      </c>
      <c r="U52" s="29"/>
      <c r="V52" s="23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5309.44</v>
      </c>
      <c r="AB52" s="23">
        <f>H52+M52+R52+W52</f>
        <v>8147.54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399351.14999999997</v>
      </c>
      <c r="H53" s="57">
        <f>SUM(H37:H52)</f>
        <v>582493.24</v>
      </c>
      <c r="I53" s="57">
        <f>SUM(I37:I52)</f>
        <v>4914666.63</v>
      </c>
      <c r="J53" s="31">
        <f>IF(I53=0,"",H53/I53)</f>
        <v>0.11852141434056943</v>
      </c>
      <c r="K53" s="29"/>
      <c r="L53" s="57">
        <f>SUM(L37:L51)</f>
        <v>1398.2099999999991</v>
      </c>
      <c r="M53" s="57">
        <f>SUM(M37:M51)</f>
        <v>38198.939999999995</v>
      </c>
      <c r="N53" s="57">
        <f>SUM(N37:N51)</f>
        <v>354543.56999999995</v>
      </c>
      <c r="O53" s="31">
        <f>IF(N53=0,"",M53/N53)</f>
        <v>0.10774117268577174</v>
      </c>
      <c r="P53" s="29"/>
      <c r="Q53" s="57">
        <f>SUM(Q37:Q52)</f>
        <v>5309.44</v>
      </c>
      <c r="R53" s="57">
        <f>SUM(R37:R52)</f>
        <v>8147.54</v>
      </c>
      <c r="S53" s="57">
        <f>SUM(S37:S52)</f>
        <v>0</v>
      </c>
      <c r="T53" s="31" t="str">
        <f>IF(S53=0,"",R53/S53)</f>
        <v/>
      </c>
      <c r="U53" s="29"/>
      <c r="V53" s="57">
        <f>SUM(V37:V52)</f>
        <v>548586.66999999993</v>
      </c>
      <c r="W53" s="57">
        <f>SUM(W37:W52)</f>
        <v>1219657.1900000002</v>
      </c>
      <c r="X53" s="57">
        <f>SUM(X37:X52)</f>
        <v>4614439.41</v>
      </c>
      <c r="Y53" s="31">
        <f>IF(X53=0,"",W53/X53)</f>
        <v>0.26431318772045598</v>
      </c>
      <c r="Z53" s="29"/>
      <c r="AA53" s="57">
        <f>SUM(AA37:AA52)</f>
        <v>954645.47</v>
      </c>
      <c r="AB53" s="57">
        <f>SUM(AB37:AB52)</f>
        <v>1848496.9100000004</v>
      </c>
      <c r="AC53" s="57">
        <f>SUM(AC37:AC52)</f>
        <v>9883649.6100000013</v>
      </c>
      <c r="AD53" s="31">
        <f>IF(AC53=0,"",AB53/AC53)</f>
        <v>0.18702574281161716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76423.550000000047</v>
      </c>
      <c r="H54" s="58">
        <f>H33-H53</f>
        <v>376234.02</v>
      </c>
      <c r="I54" s="58">
        <f>I33-I53</f>
        <v>1011001.3700000001</v>
      </c>
      <c r="J54" s="31">
        <f>IF(I54=0,"",H54/I54)</f>
        <v>0.37213997049281938</v>
      </c>
      <c r="K54" s="29"/>
      <c r="L54" s="58">
        <f>L33-L53</f>
        <v>36800.730000000003</v>
      </c>
      <c r="M54" s="58">
        <f>M33-M53</f>
        <v>0</v>
      </c>
      <c r="N54" s="58">
        <f>N33-N53</f>
        <v>1.0000000067520887E-2</v>
      </c>
      <c r="O54" s="31"/>
      <c r="P54" s="29"/>
      <c r="Q54" s="58">
        <f>Q33-Q53</f>
        <v>20019.560000000001</v>
      </c>
      <c r="R54" s="58">
        <f>R33-R53</f>
        <v>19017.12</v>
      </c>
      <c r="S54" s="58">
        <f>S33-S53</f>
        <v>0</v>
      </c>
      <c r="T54" s="31" t="str">
        <f>IF(S54=0,"",R54/S54)</f>
        <v/>
      </c>
      <c r="U54" s="29"/>
      <c r="V54" s="58">
        <f>V33-V53</f>
        <v>-548586.66999999993</v>
      </c>
      <c r="W54" s="58">
        <f>W33-W53</f>
        <v>-1219657.1900000002</v>
      </c>
      <c r="X54" s="58">
        <f>X33-X53</f>
        <v>-4077966.99</v>
      </c>
      <c r="Y54" s="31">
        <f>IF(X54=0,"",W54/X54)</f>
        <v>0.29908461568983913</v>
      </c>
      <c r="Z54" s="29"/>
      <c r="AA54" s="58">
        <f>AA33-AA53</f>
        <v>-415342.82999999996</v>
      </c>
      <c r="AB54" s="58">
        <f>AB33-AB53</f>
        <v>-824406.05000000028</v>
      </c>
      <c r="AC54" s="58">
        <f>AC33-AC53</f>
        <v>-3186270.0300000012</v>
      </c>
      <c r="AD54" s="31">
        <f>IF(AC54=0,"",AB54/AC54)</f>
        <v>0.25873703177630553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8"/>
      <c r="P56" s="29"/>
      <c r="Q56" s="29"/>
      <c r="R56" s="29"/>
      <c r="S56" s="29"/>
      <c r="T56" s="8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0</v>
      </c>
      <c r="X57" s="68">
        <f>150000+1859711.34</f>
        <v>2009711.34</v>
      </c>
      <c r="Y57" s="8">
        <f>IF(X57=0,"%",W57/X57)</f>
        <v>0</v>
      </c>
      <c r="Z57" s="29"/>
      <c r="AA57" s="59">
        <f>G57+L57+Q57+V57</f>
        <v>0</v>
      </c>
      <c r="AB57" s="59">
        <f>H57+M57+R57+W57</f>
        <v>0</v>
      </c>
      <c r="AC57" s="59">
        <f>I57+N57+S57+X57</f>
        <v>2096058.34</v>
      </c>
      <c r="AD57" s="8">
        <f>IF(AC57=0,"%",AB57/AC57)</f>
        <v>0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55599.69</v>
      </c>
      <c r="H58" s="19">
        <v>116832.66</v>
      </c>
      <c r="I58" s="19">
        <v>1097348</v>
      </c>
      <c r="J58" s="8">
        <f>IF(I58=0,"%",H58/I58)</f>
        <v>0.1064681942282667</v>
      </c>
      <c r="K58" s="29"/>
      <c r="L58" s="66">
        <v>0</v>
      </c>
      <c r="M58" s="66">
        <v>0</v>
      </c>
      <c r="N58" s="59">
        <v>0</v>
      </c>
      <c r="O58" s="8" t="str">
        <f>IF(N58=0,"%",M58/N58)</f>
        <v>%</v>
      </c>
      <c r="P58" s="29"/>
      <c r="Q58" s="66">
        <v>0</v>
      </c>
      <c r="R58" s="66">
        <v>0</v>
      </c>
      <c r="S58" s="59">
        <v>0</v>
      </c>
      <c r="T58" s="8" t="str">
        <f>IF(S58=0,"%",R58/S58)</f>
        <v>%</v>
      </c>
      <c r="U58" s="29"/>
      <c r="V58" s="66"/>
      <c r="W58" s="66"/>
      <c r="X58" s="59"/>
      <c r="Y58" s="8" t="str">
        <f>IF(X58=0,"%",W58/X58)</f>
        <v>%</v>
      </c>
      <c r="Z58" s="29"/>
      <c r="AA58" s="66">
        <f>G58+L58+Q58</f>
        <v>55599.69</v>
      </c>
      <c r="AB58" s="66">
        <f>H58+M58+R58</f>
        <v>116832.66</v>
      </c>
      <c r="AC58" s="59">
        <f>I58+N58+S58</f>
        <v>1097348</v>
      </c>
      <c r="AD58" s="8">
        <f>IF(AC58=0,"%",AB58/AC58)</f>
        <v>0.1064681942282667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55599.69</v>
      </c>
      <c r="H59" s="57">
        <f>SUM(H57-H58)</f>
        <v>-116832.66</v>
      </c>
      <c r="I59" s="57">
        <f>SUM(I57:I58)</f>
        <v>1183695</v>
      </c>
      <c r="J59" s="31">
        <f>IF(I59=0,"",H59/I59)</f>
        <v>-9.8701658788792723E-2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57">
        <f>SUM(Q57:Q58)</f>
        <v>0</v>
      </c>
      <c r="R59" s="57">
        <f>SUM(R57:R58)</f>
        <v>0</v>
      </c>
      <c r="S59" s="57">
        <f>SUM(S57:S58)</f>
        <v>0</v>
      </c>
      <c r="T59" s="31" t="str">
        <f>IF(S59=0,"",R59/S59)</f>
        <v/>
      </c>
      <c r="U59" s="29"/>
      <c r="V59" s="57">
        <f>SUM(V57:V58)</f>
        <v>0</v>
      </c>
      <c r="W59" s="57">
        <f>SUM(W57:W58)</f>
        <v>0</v>
      </c>
      <c r="X59" s="57">
        <f>SUM(X57:X58)</f>
        <v>2009711.34</v>
      </c>
      <c r="Y59" s="31">
        <f>IF(X59=0,"",W59/X59)</f>
        <v>0</v>
      </c>
      <c r="Z59" s="29"/>
      <c r="AA59" s="57">
        <f>SUM(AA57:AA58)</f>
        <v>55599.69</v>
      </c>
      <c r="AB59" s="57">
        <f>AB57-AB58</f>
        <v>-116832.66</v>
      </c>
      <c r="AC59" s="57">
        <f>SUM(AC57:AC58)</f>
        <v>3193406.34</v>
      </c>
      <c r="AD59" s="31">
        <f>IF(AC59=0,"",AB59/AC59)</f>
        <v>-3.6585591547363183E-2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8"/>
      <c r="P60" s="29"/>
      <c r="Q60" s="29"/>
      <c r="R60" s="29"/>
      <c r="S60" s="29"/>
      <c r="T60" s="8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259401.36000000002</v>
      </c>
      <c r="I61" s="59"/>
      <c r="J61" s="8" t="str">
        <f>IF(I61=0,"",H61/I61)</f>
        <v/>
      </c>
      <c r="K61" s="29"/>
      <c r="L61" s="59"/>
      <c r="M61" s="59">
        <f>M33-M53+M59</f>
        <v>7.2759576141834259E-12</v>
      </c>
      <c r="N61" s="59"/>
      <c r="O61" s="29"/>
      <c r="P61" s="29"/>
      <c r="Q61" s="59"/>
      <c r="R61" s="59">
        <f>R33-R53+R59</f>
        <v>19017.12</v>
      </c>
      <c r="S61" s="59">
        <f>S33-S53+S59</f>
        <v>0</v>
      </c>
      <c r="T61" s="29"/>
      <c r="U61" s="29">
        <f>U33-U53+U59</f>
        <v>0</v>
      </c>
      <c r="V61" s="59"/>
      <c r="W61" s="59">
        <f>W33-W53+W59</f>
        <v>-1219657.1900000002</v>
      </c>
      <c r="X61" s="59">
        <f>X33-X53+X59</f>
        <v>-2068255.6500000001</v>
      </c>
      <c r="Y61" s="29"/>
      <c r="Z61" s="29"/>
      <c r="AA61" s="59"/>
      <c r="AB61" s="59">
        <f>AB33-AB53+AB59</f>
        <v>-941238.71000000031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59"/>
      <c r="R63" s="59"/>
      <c r="S63" s="59"/>
      <c r="T63" s="8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57">
        <f>SUM(Q62:Q63)</f>
        <v>0</v>
      </c>
      <c r="R64" s="57">
        <f>SUM(R62:R63)</f>
        <v>0</v>
      </c>
      <c r="S64" s="57">
        <f>SUM(S62:S63)</f>
        <v>0</v>
      </c>
      <c r="T64" s="31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8"/>
      <c r="P65" s="29"/>
      <c r="Q65" s="29"/>
      <c r="R65" s="29"/>
      <c r="S65" s="29"/>
      <c r="T65" s="8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259401.36000000002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7.2759576141834259E-12</v>
      </c>
      <c r="N66" s="65">
        <f>N64+N61</f>
        <v>0</v>
      </c>
      <c r="O66" s="38" t="str">
        <f>IF(N66=0,"%",M66/N66)</f>
        <v>%</v>
      </c>
      <c r="P66" s="39"/>
      <c r="Q66" s="65">
        <f>Q64+Q61</f>
        <v>0</v>
      </c>
      <c r="R66" s="65">
        <f>R64+R61</f>
        <v>19017.12</v>
      </c>
      <c r="S66" s="65">
        <f>S64+S61</f>
        <v>0</v>
      </c>
      <c r="T66" s="38" t="str">
        <f>IF(S66=0,"%",R66/S66)</f>
        <v>%</v>
      </c>
      <c r="U66" s="39"/>
      <c r="V66" s="65">
        <f>V64+V61</f>
        <v>0</v>
      </c>
      <c r="W66" s="65">
        <f>W64+W61</f>
        <v>-1219657.1900000002</v>
      </c>
      <c r="X66" s="65">
        <f>X64+X61</f>
        <v>-2068255.6500000001</v>
      </c>
      <c r="Y66" s="38">
        <f>IF(X66=0,"%",W66/X66)</f>
        <v>0.589703303844474</v>
      </c>
      <c r="Z66" s="39"/>
      <c r="AA66" s="65">
        <f>AA64+AA61</f>
        <v>0</v>
      </c>
      <c r="AB66" s="65">
        <f>AB64+AB61</f>
        <v>-941238.71000000031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100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opLeftCell="C25" zoomScale="70" zoomScaleNormal="70" zoomScaleSheetLayoutView="50" zoomScalePageLayoutView="40" workbookViewId="0">
      <selection activeCell="J12" sqref="J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6" t="s">
        <v>59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6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6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7" t="s">
        <v>5</v>
      </c>
      <c r="H11" s="128"/>
      <c r="I11" s="128"/>
      <c r="J11" s="129"/>
      <c r="K11" s="9"/>
      <c r="L11" s="127" t="s">
        <v>7</v>
      </c>
      <c r="M11" s="128"/>
      <c r="N11" s="128"/>
      <c r="O11" s="129"/>
      <c r="P11" s="9"/>
      <c r="Q11" s="127" t="s">
        <v>8</v>
      </c>
      <c r="R11" s="128"/>
      <c r="S11" s="128"/>
      <c r="T11" s="129"/>
      <c r="U11" s="9"/>
      <c r="V11" s="127" t="s">
        <v>9</v>
      </c>
      <c r="W11" s="128"/>
      <c r="X11" s="128"/>
      <c r="Y11" s="130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80000</v>
      </c>
      <c r="O16" s="8">
        <f>IF(N16=0,"%",M16/N16)</f>
        <v>0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80000</v>
      </c>
      <c r="Y16" s="8">
        <f>IF(X16=0,"%",W16/X16)</f>
        <v>0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46227.51</v>
      </c>
      <c r="M17" s="19">
        <v>46227.51</v>
      </c>
      <c r="N17" s="19">
        <v>674220.21</v>
      </c>
      <c r="O17" s="8">
        <f>IF(N17=0,"%",M17/N17)</f>
        <v>6.8564408652182066E-2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46227.51</v>
      </c>
      <c r="W17" s="23">
        <f t="shared" si="1"/>
        <v>46227.51</v>
      </c>
      <c r="X17" s="23">
        <f t="shared" si="1"/>
        <v>674220.21</v>
      </c>
      <c r="Y17" s="8">
        <f>IF(X17=0,"%",W17/X17)</f>
        <v>6.8564408652182066E-2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917231.17</v>
      </c>
      <c r="H19" s="19">
        <v>1838799.54</v>
      </c>
      <c r="I19" s="19">
        <v>10170242</v>
      </c>
      <c r="J19" s="20">
        <f t="shared" si="2"/>
        <v>0.18080194551909384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917231.17</v>
      </c>
      <c r="W19" s="23">
        <f t="shared" si="5"/>
        <v>1838799.54</v>
      </c>
      <c r="X19" s="23">
        <f t="shared" si="5"/>
        <v>10170242</v>
      </c>
      <c r="Y19" s="8">
        <f t="shared" ref="Y19:Y24" si="6">IF(X19=0,"%",W19/X19)</f>
        <v>0.18080194551909384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33531.269999999997</v>
      </c>
      <c r="H21" s="19">
        <v>67062.539999999994</v>
      </c>
      <c r="I21" s="19">
        <v>292729</v>
      </c>
      <c r="J21" s="20">
        <f t="shared" si="2"/>
        <v>0.22909428174181579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f t="shared" si="5"/>
        <v>33531.269999999997</v>
      </c>
      <c r="W21" s="23">
        <f t="shared" si="5"/>
        <v>67062.539999999994</v>
      </c>
      <c r="X21" s="23">
        <f t="shared" si="5"/>
        <v>292729</v>
      </c>
      <c r="Y21" s="8">
        <f t="shared" si="6"/>
        <v>0.22909428174181579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132601.64000000001</v>
      </c>
      <c r="H22" s="19">
        <v>265203.28000000003</v>
      </c>
      <c r="I22" s="19">
        <v>1458618</v>
      </c>
      <c r="J22" s="20">
        <f t="shared" si="2"/>
        <v>0.18181818680422154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132601.64000000001</v>
      </c>
      <c r="W22" s="23">
        <f t="shared" si="5"/>
        <v>265203.28000000003</v>
      </c>
      <c r="X22" s="23">
        <f t="shared" si="5"/>
        <v>1458618</v>
      </c>
      <c r="Y22" s="8">
        <f t="shared" si="6"/>
        <v>0.18181818680422154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19500</v>
      </c>
      <c r="I24" s="19">
        <v>200000</v>
      </c>
      <c r="J24" s="20">
        <f t="shared" si="2"/>
        <v>9.7500000000000003E-2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19500</v>
      </c>
      <c r="X24" s="23">
        <f t="shared" si="5"/>
        <v>200000</v>
      </c>
      <c r="Y24" s="8">
        <f t="shared" si="6"/>
        <v>9.7500000000000003E-2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v>118497.76</v>
      </c>
      <c r="I27" s="19">
        <v>641539</v>
      </c>
      <c r="J27" s="20">
        <f t="shared" si="2"/>
        <v>0.18470858357792744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60176.03</v>
      </c>
      <c r="W27" s="23">
        <f t="shared" si="9"/>
        <v>118497.76</v>
      </c>
      <c r="X27" s="23">
        <f t="shared" si="9"/>
        <v>641539</v>
      </c>
      <c r="Y27" s="8">
        <f t="shared" si="10"/>
        <v>0.18470858357792744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562752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562752</v>
      </c>
      <c r="Y30" s="8">
        <f t="shared" si="10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20091.419999999998</v>
      </c>
      <c r="R31" s="19">
        <v>20105.419999999998</v>
      </c>
      <c r="S31" s="19">
        <v>0</v>
      </c>
      <c r="T31" s="8" t="str">
        <f t="shared" si="8"/>
        <v>%</v>
      </c>
      <c r="U31" s="29"/>
      <c r="V31" s="23">
        <f t="shared" si="9"/>
        <v>20091.419999999998</v>
      </c>
      <c r="W31" s="23">
        <f t="shared" si="9"/>
        <v>20105.419999999998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1143540.1100000001</v>
      </c>
      <c r="H32" s="57">
        <f>SUM(H16:H31)</f>
        <v>2309063.12</v>
      </c>
      <c r="I32" s="57">
        <f>SUM(I16:I31)</f>
        <v>13325880</v>
      </c>
      <c r="J32" s="31">
        <f>IF(I32=0,"",H32/I32)</f>
        <v>0.17327659561694989</v>
      </c>
      <c r="K32" s="29"/>
      <c r="L32" s="57">
        <f>SUM(L16:L31)</f>
        <v>46227.51</v>
      </c>
      <c r="M32" s="57">
        <f>SUM(M16:M31)</f>
        <v>46227.51</v>
      </c>
      <c r="N32" s="57">
        <f>SUM(N16:N31)</f>
        <v>754220.21</v>
      </c>
      <c r="O32" s="31">
        <f>IF(N32=0,"",M32/N32)</f>
        <v>6.1291794342132527E-2</v>
      </c>
      <c r="P32" s="29"/>
      <c r="Q32" s="57">
        <f>SUM(Q16:Q31)</f>
        <v>20091.419999999998</v>
      </c>
      <c r="R32" s="57">
        <f>SUM(R16:R31)</f>
        <v>20105.419999999998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1209859.04</v>
      </c>
      <c r="W32" s="57">
        <f>SUM(W16:W31)</f>
        <v>2375396.0499999998</v>
      </c>
      <c r="X32" s="57">
        <f>SUM(X16:X31)</f>
        <v>14080100.210000001</v>
      </c>
      <c r="Y32" s="31">
        <f>IF(X32=0,"",W32/X32)</f>
        <v>0.16870590511230457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655946.19000000006</v>
      </c>
      <c r="H36" s="19">
        <v>720673.60000000021</v>
      </c>
      <c r="I36" s="19">
        <v>7647138.370000001</v>
      </c>
      <c r="J36" s="8">
        <f t="shared" ref="J36:J51" si="11">IF(I36=0,"%",H36/I36)</f>
        <v>9.4240951991561794E-2</v>
      </c>
      <c r="K36" s="29"/>
      <c r="L36" s="19">
        <v>55615.250000000007</v>
      </c>
      <c r="M36" s="19">
        <v>62925.490000000013</v>
      </c>
      <c r="N36" s="19">
        <v>685493.45000000007</v>
      </c>
      <c r="O36" s="8">
        <f t="shared" ref="O36:O51" si="12">IF(N36=0,"%",M36/N36)</f>
        <v>9.1795902645021632E-2</v>
      </c>
      <c r="P36" s="29"/>
      <c r="Q36" s="19">
        <v>0</v>
      </c>
      <c r="R36" s="19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711561.44000000006</v>
      </c>
      <c r="W36" s="23">
        <f t="shared" ref="W36:W51" si="15">H36+M36+R36</f>
        <v>783599.0900000002</v>
      </c>
      <c r="X36" s="23">
        <f t="shared" ref="X36:X51" si="16">I36+N36+S36</f>
        <v>8332631.8200000012</v>
      </c>
      <c r="Y36" s="8">
        <f t="shared" ref="Y36:Y51" si="17">IF(X36=0,"%",W36/X36)</f>
        <v>9.4039807221435609E-2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54566.979999999996</v>
      </c>
      <c r="H37" s="19">
        <v>59056.200000000004</v>
      </c>
      <c r="I37" s="19">
        <v>690748.1399999999</v>
      </c>
      <c r="J37" s="8">
        <f t="shared" si="11"/>
        <v>8.5495995689543247E-2</v>
      </c>
      <c r="K37" s="29"/>
      <c r="L37" s="23">
        <v>0</v>
      </c>
      <c r="M37" s="23">
        <v>24.84</v>
      </c>
      <c r="N37" s="23">
        <v>68726.759999999995</v>
      </c>
      <c r="O37" s="8">
        <f t="shared" si="12"/>
        <v>3.6143126782056949E-4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54566.979999999996</v>
      </c>
      <c r="W37" s="23">
        <f t="shared" si="15"/>
        <v>59081.04</v>
      </c>
      <c r="X37" s="23">
        <f t="shared" si="16"/>
        <v>759474.89999999991</v>
      </c>
      <c r="Y37" s="8">
        <f t="shared" si="17"/>
        <v>7.779195862825751E-2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0</v>
      </c>
      <c r="I38" s="19">
        <v>18500</v>
      </c>
      <c r="J38" s="8">
        <f t="shared" si="11"/>
        <v>0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0</v>
      </c>
      <c r="X38" s="23">
        <f t="shared" si="16"/>
        <v>18500</v>
      </c>
      <c r="Y38" s="8">
        <f t="shared" si="17"/>
        <v>0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114082.7</v>
      </c>
      <c r="H40" s="19">
        <v>189605.99</v>
      </c>
      <c r="I40" s="19">
        <v>1322801.8099999998</v>
      </c>
      <c r="J40" s="8">
        <f t="shared" si="11"/>
        <v>0.14333665751485478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114082.7</v>
      </c>
      <c r="W40" s="23">
        <f t="shared" si="15"/>
        <v>189605.99</v>
      </c>
      <c r="X40" s="23">
        <f t="shared" si="16"/>
        <v>1322801.8099999998</v>
      </c>
      <c r="Y40" s="8">
        <f t="shared" si="17"/>
        <v>0.14333665751485478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5611.19</v>
      </c>
      <c r="H42" s="19">
        <v>11477.5</v>
      </c>
      <c r="I42" s="19">
        <v>62400</v>
      </c>
      <c r="J42" s="8">
        <f t="shared" si="11"/>
        <v>0.18393429487179488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5611.19</v>
      </c>
      <c r="W42" s="23">
        <f t="shared" si="15"/>
        <v>11477.5</v>
      </c>
      <c r="X42" s="23">
        <f t="shared" si="16"/>
        <v>62400</v>
      </c>
      <c r="Y42" s="8">
        <f t="shared" si="17"/>
        <v>0.18393429487179488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5896</v>
      </c>
      <c r="H45" s="19">
        <v>6526</v>
      </c>
      <c r="I45" s="19">
        <v>90600</v>
      </c>
      <c r="J45" s="8">
        <f t="shared" si="11"/>
        <v>7.2030905077262689E-2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5896</v>
      </c>
      <c r="W45" s="23">
        <f t="shared" si="15"/>
        <v>6526</v>
      </c>
      <c r="X45" s="23">
        <f t="shared" si="16"/>
        <v>90600</v>
      </c>
      <c r="Y45" s="8">
        <f t="shared" si="17"/>
        <v>7.2030905077262689E-2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156530.68</v>
      </c>
      <c r="H46" s="19">
        <v>254812.63999999998</v>
      </c>
      <c r="I46" s="19">
        <v>1149317.7</v>
      </c>
      <c r="J46" s="8">
        <f t="shared" si="11"/>
        <v>0.2217077488670017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156530.68</v>
      </c>
      <c r="W46" s="23">
        <f t="shared" si="15"/>
        <v>254812.63999999998</v>
      </c>
      <c r="X46" s="23">
        <f t="shared" si="16"/>
        <v>1149317.7</v>
      </c>
      <c r="Y46" s="8">
        <f t="shared" si="17"/>
        <v>0.2217077488670017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89743.180000000008</v>
      </c>
      <c r="H49" s="19">
        <v>213258.93999999994</v>
      </c>
      <c r="I49" s="19">
        <v>846712.96</v>
      </c>
      <c r="J49" s="8">
        <f t="shared" si="11"/>
        <v>0.25186686642897255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89743.180000000008</v>
      </c>
      <c r="W49" s="23">
        <f t="shared" si="15"/>
        <v>213258.93999999994</v>
      </c>
      <c r="X49" s="23">
        <f t="shared" si="16"/>
        <v>846712.96</v>
      </c>
      <c r="Y49" s="8">
        <f t="shared" si="17"/>
        <v>0.25186686642897255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41803.43</v>
      </c>
      <c r="R51" s="23">
        <v>51906.92</v>
      </c>
      <c r="S51" s="19">
        <v>0</v>
      </c>
      <c r="T51" s="8" t="str">
        <f t="shared" si="13"/>
        <v>%</v>
      </c>
      <c r="U51" s="29"/>
      <c r="V51" s="23">
        <f t="shared" si="14"/>
        <v>41803.43</v>
      </c>
      <c r="W51" s="23">
        <f t="shared" si="15"/>
        <v>51906.92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1082376.92</v>
      </c>
      <c r="H52" s="57">
        <f>SUM(H36:H51)</f>
        <v>1455410.87</v>
      </c>
      <c r="I52" s="57">
        <f>SUM(I36:I51)</f>
        <v>11858218.98</v>
      </c>
      <c r="J52" s="31">
        <f>IF(I52=0,"",H52/I52)</f>
        <v>0.122734356015409</v>
      </c>
      <c r="K52" s="29"/>
      <c r="L52" s="57">
        <f>SUM(L36:L50)</f>
        <v>55615.250000000007</v>
      </c>
      <c r="M52" s="57">
        <f>SUM(M36:M50)</f>
        <v>62950.330000000009</v>
      </c>
      <c r="N52" s="57">
        <f>SUM(N36:N50)</f>
        <v>754220.21000000008</v>
      </c>
      <c r="O52" s="31">
        <f>IF(N52=0,"",M52/N52)</f>
        <v>8.3464125152520108E-2</v>
      </c>
      <c r="P52" s="29"/>
      <c r="Q52" s="57">
        <f>SUM(Q36:Q51)</f>
        <v>41803.43</v>
      </c>
      <c r="R52" s="57">
        <f>SUM(R36:R51)</f>
        <v>51906.92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1179795.5999999999</v>
      </c>
      <c r="W52" s="57">
        <f>SUM(W36:W51)</f>
        <v>1570268.1199999999</v>
      </c>
      <c r="X52" s="57">
        <f>SUM(X36:X51)</f>
        <v>12612439.190000001</v>
      </c>
      <c r="Y52" s="31">
        <f>IF(X52=0,"",W52/X52)</f>
        <v>0.12450154140247631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61163.190000000177</v>
      </c>
      <c r="H53" s="57">
        <f>H32-H52</f>
        <v>853652.25</v>
      </c>
      <c r="I53" s="57">
        <f>I32-I52</f>
        <v>1467661.0199999996</v>
      </c>
      <c r="J53" s="31">
        <f>IF(I53=0,"",H53/I53)</f>
        <v>0.58164129071166604</v>
      </c>
      <c r="K53" s="29"/>
      <c r="L53" s="57">
        <f>L32-L52</f>
        <v>-9387.7400000000052</v>
      </c>
      <c r="M53" s="57">
        <f>M32-M52</f>
        <v>-16722.820000000007</v>
      </c>
      <c r="N53" s="57">
        <f>N32-N52</f>
        <v>0</v>
      </c>
      <c r="O53" s="31"/>
      <c r="P53" s="29"/>
      <c r="Q53" s="57">
        <f>Q32-Q52</f>
        <v>-21712.010000000002</v>
      </c>
      <c r="R53" s="57">
        <f>R32-R52</f>
        <v>-31801.5</v>
      </c>
      <c r="S53" s="57">
        <f>S32-S52</f>
        <v>0</v>
      </c>
      <c r="T53" s="31" t="str">
        <f>IF(S53=0,"",R53/S53)</f>
        <v/>
      </c>
      <c r="U53" s="29"/>
      <c r="V53" s="57">
        <f>V32-V52</f>
        <v>30063.440000000177</v>
      </c>
      <c r="W53" s="57">
        <f>W32-W52</f>
        <v>805127.92999999993</v>
      </c>
      <c r="X53" s="57">
        <f>X32-X52</f>
        <v>1467661.0199999996</v>
      </c>
      <c r="Y53" s="31">
        <f>IF(X53=0,"",W53/X53)</f>
        <v>0.5485789422955446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59">
        <v>0</v>
      </c>
      <c r="T56" s="8" t="str">
        <f>IF(S56=0,"%",R56/S56)</f>
        <v>%</v>
      </c>
      <c r="U56" s="29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116172.67</v>
      </c>
      <c r="H57" s="19">
        <v>249390.03</v>
      </c>
      <c r="I57" s="19">
        <v>1847905</v>
      </c>
      <c r="J57" s="8">
        <f>IF(I57=0,"%",H57/I57)</f>
        <v>0.13495825272403073</v>
      </c>
      <c r="K57" s="29"/>
      <c r="L57" s="67">
        <v>0</v>
      </c>
      <c r="M57" s="67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59">
        <v>0</v>
      </c>
      <c r="T57" s="8" t="str">
        <f>IF(S57=0,"%",R57/S57)</f>
        <v>%</v>
      </c>
      <c r="U57" s="29"/>
      <c r="V57" s="67">
        <f t="shared" si="18"/>
        <v>116172.67</v>
      </c>
      <c r="W57" s="67">
        <f t="shared" si="18"/>
        <v>249390.03</v>
      </c>
      <c r="X57" s="59">
        <f t="shared" si="18"/>
        <v>1847905</v>
      </c>
      <c r="Y57" s="8">
        <f>IF(X57=0,"%",W57/X57)</f>
        <v>0.13495825272403073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116172.67</v>
      </c>
      <c r="H58" s="57">
        <f>SUM(H56-H57)</f>
        <v>-249390.03</v>
      </c>
      <c r="I58" s="57">
        <f>SUM(I56:I57)</f>
        <v>2072747</v>
      </c>
      <c r="J58" s="31">
        <f>IF(I58=0,"",H58/I58)</f>
        <v>-0.12031860617817804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116172.67</v>
      </c>
      <c r="W58" s="57">
        <f>W56-W57</f>
        <v>-249390.03</v>
      </c>
      <c r="X58" s="57">
        <f>SUM(X56:X57)</f>
        <v>2072747</v>
      </c>
      <c r="Y58" s="31">
        <f>IF(X58=0,"",W58/X58)</f>
        <v>-0.12031860617817804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604262.22</v>
      </c>
      <c r="I60" s="59"/>
      <c r="J60" s="8" t="str">
        <f>IF(I60=0,"",H60/I60)</f>
        <v/>
      </c>
      <c r="K60" s="29"/>
      <c r="L60" s="59"/>
      <c r="M60" s="59">
        <f>M32-M52+M58</f>
        <v>-16722.820000000007</v>
      </c>
      <c r="N60" s="59"/>
      <c r="O60" s="29"/>
      <c r="P60" s="29"/>
      <c r="Q60" s="59"/>
      <c r="R60" s="59">
        <f>R32-R52+R58</f>
        <v>-31801.5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555737.89999999991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604262.22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-16722.820000000007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-31801.5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555737.89999999991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101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L22" zoomScale="70" zoomScaleNormal="70" zoomScalePageLayoutView="20" workbookViewId="0">
      <selection activeCell="R25" sqref="R25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bestFit="1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4" hidden="1" customWidth="1"/>
    <col min="23" max="23" width="17.140625" style="4" hidden="1" customWidth="1"/>
    <col min="24" max="24" width="16.7109375" style="4" hidden="1" customWidth="1"/>
    <col min="25" max="25" width="11.42578125" style="4" hidden="1" customWidth="1"/>
    <col min="26" max="26" width="1.85546875" style="4" hidden="1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6" t="s">
        <v>60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55"/>
      <c r="V1" s="126" t="s">
        <v>60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55"/>
    </row>
    <row r="2" spans="1:41" ht="23.25" x14ac:dyDescent="0.35">
      <c r="A2" s="3"/>
      <c r="B2" s="3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55"/>
      <c r="V2" s="126" t="s">
        <v>0</v>
      </c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55"/>
    </row>
    <row r="3" spans="1:41" ht="23.25" x14ac:dyDescent="0.35">
      <c r="A3" s="3"/>
      <c r="B3" s="3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55"/>
      <c r="V3" s="126" t="s">
        <v>1</v>
      </c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55"/>
    </row>
    <row r="4" spans="1:41" ht="23.25" x14ac:dyDescent="0.35">
      <c r="A4" s="3"/>
      <c r="B4" s="3"/>
      <c r="C4" s="126" t="str">
        <f>'1351'!C4:Y4</f>
        <v>For Month or Quarter Ended and For the Year Ending 8/31/2024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55"/>
      <c r="V4" s="126" t="str">
        <f>C4</f>
        <v>For Month or Quarter Ended and For the Year Ending 8/31/2024</v>
      </c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7" t="s">
        <v>5</v>
      </c>
      <c r="H8" s="128"/>
      <c r="I8" s="128"/>
      <c r="J8" s="129"/>
      <c r="K8" s="9"/>
      <c r="L8" s="127" t="s">
        <v>6</v>
      </c>
      <c r="M8" s="128"/>
      <c r="N8" s="128"/>
      <c r="O8" s="129"/>
      <c r="P8" s="9"/>
      <c r="Q8" s="127" t="s">
        <v>7</v>
      </c>
      <c r="R8" s="128"/>
      <c r="S8" s="128"/>
      <c r="T8" s="129"/>
      <c r="U8" s="9"/>
      <c r="V8" s="127" t="s">
        <v>8</v>
      </c>
      <c r="W8" s="128"/>
      <c r="X8" s="128"/>
      <c r="Y8" s="129"/>
      <c r="Z8" s="9"/>
      <c r="AA8" s="127" t="s">
        <v>61</v>
      </c>
      <c r="AB8" s="128"/>
      <c r="AC8" s="128"/>
      <c r="AD8" s="129"/>
      <c r="AE8" s="9"/>
      <c r="AF8" s="127" t="s">
        <v>62</v>
      </c>
      <c r="AG8" s="128"/>
      <c r="AH8" s="128"/>
      <c r="AI8" s="129"/>
      <c r="AJ8" s="9"/>
      <c r="AK8" s="127" t="s">
        <v>9</v>
      </c>
      <c r="AL8" s="128"/>
      <c r="AM8" s="128"/>
      <c r="AN8" s="130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70" t="s">
        <v>11</v>
      </c>
      <c r="W9" s="70" t="s">
        <v>12</v>
      </c>
      <c r="X9" s="70" t="s">
        <v>13</v>
      </c>
      <c r="Y9" s="70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52885.79</v>
      </c>
      <c r="M14" s="19">
        <v>52885.79</v>
      </c>
      <c r="N14" s="19">
        <v>4195000</v>
      </c>
      <c r="O14" s="20">
        <f>IF(N14=0,"%",M14/N14)</f>
        <v>1.260686293206198E-2</v>
      </c>
      <c r="P14" s="25"/>
      <c r="Q14" s="19">
        <v>470152.57000000007</v>
      </c>
      <c r="R14" s="19">
        <v>470152.57000000007</v>
      </c>
      <c r="S14" s="19">
        <v>3502314.0599999996</v>
      </c>
      <c r="T14" s="8">
        <f>IF(S14=0,"%",R14/S14)</f>
        <v>0.13424055123143358</v>
      </c>
      <c r="U14" s="26"/>
      <c r="V14" s="23">
        <v>0</v>
      </c>
      <c r="W14" s="23">
        <v>0</v>
      </c>
      <c r="X14" s="23">
        <v>0</v>
      </c>
      <c r="Y14" s="8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523038.36000000004</v>
      </c>
      <c r="AL14" s="23">
        <f t="shared" si="1"/>
        <v>523038.36000000004</v>
      </c>
      <c r="AM14" s="23">
        <f t="shared" si="1"/>
        <v>7697314.0599999996</v>
      </c>
      <c r="AN14" s="8">
        <f>IF(AM14=0,"%",AL14/AM14)</f>
        <v>6.7950762554698216E-2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23">
        <v>0</v>
      </c>
      <c r="W17" s="23">
        <v>0</v>
      </c>
      <c r="X17" s="23">
        <v>0</v>
      </c>
      <c r="Y17" s="8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169377.84</v>
      </c>
      <c r="H18" s="19">
        <v>325613.40999999997</v>
      </c>
      <c r="I18" s="19">
        <v>2676220.7599999998</v>
      </c>
      <c r="J18" s="20">
        <f t="shared" si="2"/>
        <v>0.12166911447170749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23">
        <v>0</v>
      </c>
      <c r="W18" s="23">
        <v>0</v>
      </c>
      <c r="X18" s="23">
        <v>0</v>
      </c>
      <c r="Y18" s="8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169377.84</v>
      </c>
      <c r="AL18" s="23">
        <f t="shared" si="9"/>
        <v>325613.40999999997</v>
      </c>
      <c r="AM18" s="23">
        <f t="shared" si="10"/>
        <v>2676220.7599999998</v>
      </c>
      <c r="AN18" s="8">
        <f t="shared" si="11"/>
        <v>0.12166911447170749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23">
        <v>0</v>
      </c>
      <c r="W19" s="23">
        <v>0</v>
      </c>
      <c r="X19" s="23">
        <v>0</v>
      </c>
      <c r="Y19" s="8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0</v>
      </c>
      <c r="Y20" s="8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0</v>
      </c>
      <c r="H21" s="19">
        <v>169235.18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v>0</v>
      </c>
      <c r="W21" s="23">
        <v>0</v>
      </c>
      <c r="X21" s="23">
        <v>0</v>
      </c>
      <c r="Y21" s="8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0</v>
      </c>
      <c r="AL21" s="23">
        <f t="shared" si="9"/>
        <v>169235.18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171.64</v>
      </c>
      <c r="H23" s="19">
        <v>337.74</v>
      </c>
      <c r="I23" s="19">
        <v>1000</v>
      </c>
      <c r="J23" s="20">
        <f t="shared" si="2"/>
        <v>0.33773999999999998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171.64</v>
      </c>
      <c r="AL23" s="23">
        <f t="shared" si="9"/>
        <v>337.74</v>
      </c>
      <c r="AM23" s="23">
        <f t="shared" si="10"/>
        <v>1000</v>
      </c>
      <c r="AN23" s="8">
        <f t="shared" ref="AN23:AN28" si="17">IF(AM23=0,"%",AL23/AM23)</f>
        <v>0.33773999999999998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23">
        <v>0</v>
      </c>
      <c r="W24" s="23">
        <v>0</v>
      </c>
      <c r="X24" s="23">
        <v>0</v>
      </c>
      <c r="Y24" s="8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23">
        <v>0</v>
      </c>
      <c r="W25" s="23">
        <v>0</v>
      </c>
      <c r="X25" s="23">
        <v>0</v>
      </c>
      <c r="Y25" s="8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23">
        <v>0</v>
      </c>
      <c r="W26" s="23">
        <v>0</v>
      </c>
      <c r="X26" s="23">
        <v>0</v>
      </c>
      <c r="Y26" s="8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7179.75</v>
      </c>
      <c r="H27" s="19">
        <v>10837.65</v>
      </c>
      <c r="I27" s="19">
        <v>218251</v>
      </c>
      <c r="J27" s="20">
        <f>IF(I27=0,"%",H27/I27)</f>
        <v>4.9656817150895066E-2</v>
      </c>
      <c r="K27" s="28"/>
      <c r="L27" s="19">
        <v>0</v>
      </c>
      <c r="M27" s="19">
        <v>0</v>
      </c>
      <c r="N27" s="19">
        <v>0</v>
      </c>
      <c r="O27" s="20" t="str">
        <f t="shared" si="12"/>
        <v>%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23">
        <v>0</v>
      </c>
      <c r="Y27" s="8" t="str">
        <f t="shared" si="14"/>
        <v>%</v>
      </c>
      <c r="Z27" s="29"/>
      <c r="AA27" s="23">
        <v>682072.26</v>
      </c>
      <c r="AB27" s="23">
        <v>921055.51</v>
      </c>
      <c r="AC27" s="23">
        <v>6234500</v>
      </c>
      <c r="AD27" s="8">
        <f t="shared" si="15"/>
        <v>0.14773526505734222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689252.01</v>
      </c>
      <c r="AL27" s="23">
        <f>H27+M27+R27+W27+AB27+AG27</f>
        <v>931893.16</v>
      </c>
      <c r="AM27" s="23">
        <f t="shared" si="10"/>
        <v>6452751</v>
      </c>
      <c r="AN27" s="8">
        <f t="shared" si="17"/>
        <v>0.14441796374910484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717.44</v>
      </c>
      <c r="W28" s="19">
        <v>717.44</v>
      </c>
      <c r="X28" s="19">
        <v>0</v>
      </c>
      <c r="Y28" s="8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717.44</v>
      </c>
      <c r="AL28" s="23">
        <f t="shared" si="9"/>
        <v>717.44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176729.23</v>
      </c>
      <c r="H29" s="57">
        <f>SUM(H13:H28)</f>
        <v>506023.98</v>
      </c>
      <c r="I29" s="57">
        <f>SUM(I13:I28)</f>
        <v>3167626.96</v>
      </c>
      <c r="J29" s="31">
        <f>IF(I29=0,"",H29/I29)</f>
        <v>0.15974860246801284</v>
      </c>
      <c r="K29" s="29"/>
      <c r="L29" s="57">
        <f>SUM(L13:L28)</f>
        <v>52885.79</v>
      </c>
      <c r="M29" s="57">
        <f>SUM(M13:M28)</f>
        <v>52885.79</v>
      </c>
      <c r="N29" s="57">
        <f>SUM(N13:N28)</f>
        <v>4195000</v>
      </c>
      <c r="O29" s="31">
        <f>IF(N29=0,"",M29/N29)</f>
        <v>1.260686293206198E-2</v>
      </c>
      <c r="P29" s="29"/>
      <c r="Q29" s="57">
        <f>SUM(Q13:Q28)</f>
        <v>470152.57000000007</v>
      </c>
      <c r="R29" s="57">
        <f>SUM(R13:R28)</f>
        <v>470152.57000000007</v>
      </c>
      <c r="S29" s="57">
        <f>SUM(S13:S28)</f>
        <v>3502314.0599999996</v>
      </c>
      <c r="T29" s="31">
        <f>IF(S29=0,"",R29/S29)</f>
        <v>0.13424055123143358</v>
      </c>
      <c r="U29" s="29"/>
      <c r="V29" s="57">
        <f>SUM(V13:V28)</f>
        <v>717.44</v>
      </c>
      <c r="W29" s="57">
        <f>SUM(W13:W28)</f>
        <v>717.44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682072.26</v>
      </c>
      <c r="AB29" s="57">
        <f>SUM(AB13:AB28)</f>
        <v>921055.51</v>
      </c>
      <c r="AC29" s="57">
        <f>SUM(AC13:AC28)</f>
        <v>6234500</v>
      </c>
      <c r="AD29" s="31">
        <f>IF(AC29=0,"",AB29/AC29)</f>
        <v>0.14773526505734222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1382557.29</v>
      </c>
      <c r="AL29" s="57">
        <f>SUM(AL13:AL28)</f>
        <v>1950835.29</v>
      </c>
      <c r="AM29" s="57">
        <f>SUM(AM13:AM28)</f>
        <v>17099441.02</v>
      </c>
      <c r="AN29" s="31">
        <f>IF(AM29=0,"",AL29/AM29)</f>
        <v>0.1140876644867073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108352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104751.77</v>
      </c>
      <c r="R33" s="19">
        <v>184850.46</v>
      </c>
      <c r="S33" s="19">
        <v>382807.81999999995</v>
      </c>
      <c r="T33" s="8">
        <f t="shared" ref="T33:T49" si="20">IF(S33=0,"%",R33/S33)</f>
        <v>0.4828805743832506</v>
      </c>
      <c r="U33" s="29"/>
      <c r="V33" s="19">
        <v>0</v>
      </c>
      <c r="W33" s="19">
        <v>0</v>
      </c>
      <c r="X33" s="23">
        <v>0</v>
      </c>
      <c r="Y33" s="8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104751.77</v>
      </c>
      <c r="AL33" s="23">
        <f>H33+M33+R33+W33+AB33+AG33</f>
        <v>184850.46</v>
      </c>
      <c r="AM33" s="23">
        <f>I33+N33+S33+X33+AC33+AH33</f>
        <v>491159.81999999995</v>
      </c>
      <c r="AN33" s="8">
        <f t="shared" ref="AN33:AN49" si="24">IF(AM33=0,"%",AL33/AM33)</f>
        <v>0.37635501210176359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70178.610000000015</v>
      </c>
      <c r="H34" s="19">
        <v>101468.40000000001</v>
      </c>
      <c r="I34" s="19">
        <v>766816.88</v>
      </c>
      <c r="J34" s="8">
        <f t="shared" si="18"/>
        <v>0.13232416062619801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64191.250000000007</v>
      </c>
      <c r="R34" s="19">
        <v>141080.82999999999</v>
      </c>
      <c r="S34" s="19">
        <v>939145.6</v>
      </c>
      <c r="T34" s="8">
        <f t="shared" si="20"/>
        <v>0.15022253205466754</v>
      </c>
      <c r="U34" s="29"/>
      <c r="V34" s="23">
        <v>0</v>
      </c>
      <c r="W34" s="23">
        <v>0</v>
      </c>
      <c r="X34" s="23">
        <v>0</v>
      </c>
      <c r="Y34" s="8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134369.86000000002</v>
      </c>
      <c r="AL34" s="23">
        <f t="shared" ref="AL34:AL49" si="26">H34+M34+R34+W34+AB34+AG34</f>
        <v>242549.22999999998</v>
      </c>
      <c r="AM34" s="23">
        <f t="shared" ref="AM34:AM49" si="27">I34+N34+S34+X34+AC34+AH34</f>
        <v>1705962.48</v>
      </c>
      <c r="AN34" s="8">
        <f t="shared" si="24"/>
        <v>0.14217735316195229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14515</v>
      </c>
      <c r="H35" s="19">
        <v>64767.25</v>
      </c>
      <c r="I35" s="19">
        <v>176000</v>
      </c>
      <c r="J35" s="8">
        <f t="shared" si="18"/>
        <v>0.36799573863636365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19">
        <v>0</v>
      </c>
      <c r="R35" s="19">
        <v>0</v>
      </c>
      <c r="S35" s="19">
        <v>0</v>
      </c>
      <c r="T35" s="8" t="str">
        <f t="shared" si="20"/>
        <v>%</v>
      </c>
      <c r="U35" s="29"/>
      <c r="V35" s="23">
        <v>0</v>
      </c>
      <c r="W35" s="23">
        <v>0</v>
      </c>
      <c r="X35" s="23">
        <v>0</v>
      </c>
      <c r="Y35" s="8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14515</v>
      </c>
      <c r="AL35" s="23">
        <f t="shared" si="26"/>
        <v>64767.25</v>
      </c>
      <c r="AM35" s="23">
        <f t="shared" si="27"/>
        <v>176000</v>
      </c>
      <c r="AN35" s="8">
        <f t="shared" si="24"/>
        <v>0.36799573863636365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71423.02</v>
      </c>
      <c r="H36" s="19">
        <v>83929.59</v>
      </c>
      <c r="I36" s="19">
        <v>422707.11000000004</v>
      </c>
      <c r="J36" s="8">
        <f t="shared" si="18"/>
        <v>0.19855258644691354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19">
        <v>0</v>
      </c>
      <c r="R36" s="19">
        <v>0</v>
      </c>
      <c r="S36" s="19">
        <v>78925.959999999992</v>
      </c>
      <c r="T36" s="8">
        <f t="shared" si="20"/>
        <v>0</v>
      </c>
      <c r="U36" s="29"/>
      <c r="V36" s="23">
        <v>0</v>
      </c>
      <c r="W36" s="23">
        <v>0</v>
      </c>
      <c r="X36" s="23">
        <v>0</v>
      </c>
      <c r="Y36" s="8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71423.02</v>
      </c>
      <c r="AL36" s="23">
        <f t="shared" si="26"/>
        <v>83929.59</v>
      </c>
      <c r="AM36" s="23">
        <f t="shared" si="27"/>
        <v>506896.91000000003</v>
      </c>
      <c r="AN36" s="8">
        <f t="shared" si="24"/>
        <v>0.16557526460360547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19">
        <v>0</v>
      </c>
      <c r="R37" s="19">
        <v>0</v>
      </c>
      <c r="S37" s="19">
        <v>0</v>
      </c>
      <c r="T37" s="8" t="str">
        <f t="shared" si="20"/>
        <v>%</v>
      </c>
      <c r="U37" s="29"/>
      <c r="V37" s="23">
        <v>0</v>
      </c>
      <c r="W37" s="23">
        <v>0</v>
      </c>
      <c r="X37" s="23">
        <v>0</v>
      </c>
      <c r="Y37" s="8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19">
        <v>0</v>
      </c>
      <c r="R38" s="19">
        <v>0</v>
      </c>
      <c r="S38" s="19">
        <v>1415266.6</v>
      </c>
      <c r="T38" s="8">
        <f t="shared" si="20"/>
        <v>0</v>
      </c>
      <c r="U38" s="29"/>
      <c r="V38" s="23">
        <v>0</v>
      </c>
      <c r="W38" s="23">
        <v>0</v>
      </c>
      <c r="X38" s="23">
        <v>0</v>
      </c>
      <c r="Y38" s="8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55473.039999999994</v>
      </c>
      <c r="H39" s="19">
        <v>131861.92000000001</v>
      </c>
      <c r="I39" s="19">
        <v>606263.59000000008</v>
      </c>
      <c r="J39" s="8">
        <f t="shared" si="18"/>
        <v>0.21749932236570563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19">
        <v>0</v>
      </c>
      <c r="R39" s="19">
        <v>0</v>
      </c>
      <c r="S39" s="19">
        <v>0</v>
      </c>
      <c r="T39" s="8" t="str">
        <f t="shared" si="20"/>
        <v>%</v>
      </c>
      <c r="U39" s="29"/>
      <c r="V39" s="23">
        <v>0</v>
      </c>
      <c r="W39" s="23">
        <v>0</v>
      </c>
      <c r="X39" s="23">
        <v>0</v>
      </c>
      <c r="Y39" s="8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55473.039999999994</v>
      </c>
      <c r="AL39" s="23">
        <f t="shared" si="26"/>
        <v>131861.92000000001</v>
      </c>
      <c r="AM39" s="23">
        <f t="shared" si="27"/>
        <v>606263.59000000008</v>
      </c>
      <c r="AN39" s="8">
        <f t="shared" si="24"/>
        <v>0.21749932236570563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52829.96</v>
      </c>
      <c r="M40" s="19">
        <v>79729.090000000026</v>
      </c>
      <c r="N40" s="19">
        <v>3616564.2299999995</v>
      </c>
      <c r="O40" s="8">
        <f t="shared" si="19"/>
        <v>2.2045534084154793E-2</v>
      </c>
      <c r="P40" s="29"/>
      <c r="Q40" s="19">
        <v>0</v>
      </c>
      <c r="R40" s="19">
        <v>0</v>
      </c>
      <c r="S40" s="19">
        <v>0</v>
      </c>
      <c r="T40" s="8" t="str">
        <f t="shared" si="20"/>
        <v>%</v>
      </c>
      <c r="U40" s="29"/>
      <c r="V40" s="23">
        <v>0</v>
      </c>
      <c r="W40" s="23">
        <v>0</v>
      </c>
      <c r="X40" s="23">
        <v>0</v>
      </c>
      <c r="Y40" s="8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52829.96</v>
      </c>
      <c r="AL40" s="23">
        <f t="shared" si="26"/>
        <v>79729.090000000026</v>
      </c>
      <c r="AM40" s="23">
        <f t="shared" si="27"/>
        <v>3616564.2299999995</v>
      </c>
      <c r="AN40" s="8">
        <f t="shared" si="24"/>
        <v>2.2045534084154793E-2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14914.23</v>
      </c>
      <c r="H41" s="19">
        <v>45138.319999999992</v>
      </c>
      <c r="I41" s="19">
        <v>216609.29</v>
      </c>
      <c r="J41" s="8">
        <f t="shared" si="18"/>
        <v>0.20838589148230896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19">
        <v>0</v>
      </c>
      <c r="R41" s="19">
        <v>0</v>
      </c>
      <c r="S41" s="19">
        <v>0</v>
      </c>
      <c r="T41" s="8" t="str">
        <f t="shared" si="20"/>
        <v>%</v>
      </c>
      <c r="U41" s="29"/>
      <c r="V41" s="23">
        <v>0</v>
      </c>
      <c r="W41" s="23">
        <v>0</v>
      </c>
      <c r="X41" s="23">
        <v>0</v>
      </c>
      <c r="Y41" s="8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14914.23</v>
      </c>
      <c r="AL41" s="23">
        <f t="shared" si="26"/>
        <v>45138.319999999992</v>
      </c>
      <c r="AM41" s="23">
        <f t="shared" si="27"/>
        <v>216609.29</v>
      </c>
      <c r="AN41" s="8">
        <f t="shared" si="24"/>
        <v>0.20838589148230896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167307.81</v>
      </c>
      <c r="H42" s="19">
        <v>293635.26</v>
      </c>
      <c r="I42" s="19">
        <v>2432618.75</v>
      </c>
      <c r="J42" s="8">
        <f t="shared" si="18"/>
        <v>0.12070747214293238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19">
        <v>0</v>
      </c>
      <c r="R42" s="19">
        <v>0</v>
      </c>
      <c r="S42" s="19">
        <v>0</v>
      </c>
      <c r="T42" s="8" t="str">
        <f t="shared" si="20"/>
        <v>%</v>
      </c>
      <c r="U42" s="29"/>
      <c r="V42" s="23">
        <v>0</v>
      </c>
      <c r="W42" s="23">
        <v>0</v>
      </c>
      <c r="X42" s="23">
        <v>0</v>
      </c>
      <c r="Y42" s="8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167307.81</v>
      </c>
      <c r="AL42" s="23">
        <f t="shared" si="26"/>
        <v>293635.26</v>
      </c>
      <c r="AM42" s="23">
        <f t="shared" si="27"/>
        <v>2432618.75</v>
      </c>
      <c r="AN42" s="8">
        <f t="shared" si="24"/>
        <v>0.12070747214293238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4740.6100000000006</v>
      </c>
      <c r="H43" s="19">
        <v>77141.00999999998</v>
      </c>
      <c r="I43" s="19">
        <v>821374</v>
      </c>
      <c r="J43" s="8">
        <f t="shared" si="18"/>
        <v>9.3917034140355043E-2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54375.270000000004</v>
      </c>
      <c r="R43" s="19">
        <v>148426</v>
      </c>
      <c r="S43" s="19">
        <v>250000</v>
      </c>
      <c r="T43" s="8">
        <f t="shared" si="20"/>
        <v>0.59370400000000001</v>
      </c>
      <c r="U43" s="29"/>
      <c r="V43" s="23">
        <v>0</v>
      </c>
      <c r="W43" s="23">
        <v>0</v>
      </c>
      <c r="X43" s="23">
        <v>0</v>
      </c>
      <c r="Y43" s="8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59115.880000000005</v>
      </c>
      <c r="AL43" s="23">
        <f t="shared" si="26"/>
        <v>225567.00999999998</v>
      </c>
      <c r="AM43" s="23">
        <f t="shared" si="27"/>
        <v>1071374</v>
      </c>
      <c r="AN43" s="8">
        <f t="shared" si="24"/>
        <v>0.21053993283391231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23">
        <v>0</v>
      </c>
      <c r="W44" s="23">
        <v>0</v>
      </c>
      <c r="X44" s="23">
        <v>0</v>
      </c>
      <c r="Y44" s="8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8890.5299999999988</v>
      </c>
      <c r="H45" s="19">
        <v>9615.7599999999984</v>
      </c>
      <c r="I45" s="19">
        <f>115887.31+5000</f>
        <v>120887.31</v>
      </c>
      <c r="J45" s="8">
        <f t="shared" si="18"/>
        <v>7.9543171239396415E-2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23">
        <v>0</v>
      </c>
      <c r="W45" s="23">
        <v>0</v>
      </c>
      <c r="X45" s="23">
        <v>0</v>
      </c>
      <c r="Y45" s="8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8890.5299999999988</v>
      </c>
      <c r="AL45" s="23">
        <f t="shared" si="26"/>
        <v>9615.7599999999984</v>
      </c>
      <c r="AM45" s="23">
        <f t="shared" si="27"/>
        <v>120887.31</v>
      </c>
      <c r="AN45" s="8">
        <f t="shared" si="24"/>
        <v>7.9543171239396415E-2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2500</v>
      </c>
      <c r="R46" s="19">
        <v>2500</v>
      </c>
      <c r="S46" s="19">
        <v>10731.64</v>
      </c>
      <c r="T46" s="8">
        <f t="shared" si="20"/>
        <v>0.23295600672404218</v>
      </c>
      <c r="U46" s="29"/>
      <c r="V46" s="23">
        <v>0</v>
      </c>
      <c r="W46" s="23">
        <v>0</v>
      </c>
      <c r="X46" s="23">
        <v>0</v>
      </c>
      <c r="Y46" s="8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2500</v>
      </c>
      <c r="AL46" s="23">
        <f t="shared" si="26"/>
        <v>2500</v>
      </c>
      <c r="AM46" s="23">
        <f t="shared" si="27"/>
        <v>10731.64</v>
      </c>
      <c r="AN46" s="8">
        <f t="shared" si="24"/>
        <v>0.23295600672404218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12294.78</v>
      </c>
      <c r="H47" s="19">
        <v>42202.9</v>
      </c>
      <c r="I47" s="19">
        <v>368602</v>
      </c>
      <c r="J47" s="8">
        <f t="shared" si="18"/>
        <v>0.11449449541782193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23">
        <v>0</v>
      </c>
      <c r="W47" s="23">
        <v>0</v>
      </c>
      <c r="X47" s="23">
        <v>0</v>
      </c>
      <c r="Y47" s="8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12294.78</v>
      </c>
      <c r="AL47" s="23">
        <f t="shared" si="26"/>
        <v>42202.9</v>
      </c>
      <c r="AM47" s="23">
        <f t="shared" si="27"/>
        <v>368602</v>
      </c>
      <c r="AN47" s="8">
        <f t="shared" si="24"/>
        <v>0.11449449541782193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23">
        <v>0</v>
      </c>
      <c r="M48" s="23">
        <v>0</v>
      </c>
      <c r="N48" s="23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8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23">
        <v>0</v>
      </c>
      <c r="J49" s="8" t="str">
        <f>IF(I49=0,"%",H49/I49)</f>
        <v>%</v>
      </c>
      <c r="K49" s="29"/>
      <c r="L49" s="23">
        <v>0</v>
      </c>
      <c r="M49" s="23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4347.43</v>
      </c>
      <c r="W49" s="19">
        <v>10282.44</v>
      </c>
      <c r="X49" s="23">
        <v>0</v>
      </c>
      <c r="Y49" s="8" t="str">
        <f t="shared" si="21"/>
        <v>%</v>
      </c>
      <c r="Z49" s="29"/>
      <c r="AA49" s="23">
        <v>372027.80000000005</v>
      </c>
      <c r="AB49" s="23">
        <v>1106322.8799999999</v>
      </c>
      <c r="AC49" s="23">
        <v>6234500</v>
      </c>
      <c r="AD49" s="8">
        <f t="shared" si="22"/>
        <v>0.17745174111797254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376375.23000000004</v>
      </c>
      <c r="AL49" s="23">
        <f t="shared" si="26"/>
        <v>1116605.3199999998</v>
      </c>
      <c r="AM49" s="23">
        <f t="shared" si="27"/>
        <v>6234500</v>
      </c>
      <c r="AN49" s="8">
        <f t="shared" si="24"/>
        <v>0.17910102173390005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419737.63</v>
      </c>
      <c r="H50" s="57">
        <f>SUM(H33:H47)</f>
        <v>849760.41</v>
      </c>
      <c r="I50" s="57">
        <f>SUM(I33:I49)</f>
        <v>6040230.9299999997</v>
      </c>
      <c r="J50" s="31">
        <f>IF(I50=0,"",H50/I50)</f>
        <v>0.14068343079061715</v>
      </c>
      <c r="K50" s="29"/>
      <c r="L50" s="57">
        <f>SUM(L33:L49)</f>
        <v>52829.96</v>
      </c>
      <c r="M50" s="57">
        <f>SUM(M33:M49)</f>
        <v>79729.090000000026</v>
      </c>
      <c r="N50" s="57">
        <f>SUM(N33:N47)</f>
        <v>3621828.0699999994</v>
      </c>
      <c r="O50" s="31">
        <f>IF(N50=0,"",M50/N50)</f>
        <v>2.2013493865267891E-2</v>
      </c>
      <c r="P50" s="29"/>
      <c r="Q50" s="71">
        <f>SUM(Q33:Q47)</f>
        <v>225818.29000000004</v>
      </c>
      <c r="R50" s="71">
        <f>SUM(R33:R47)</f>
        <v>476857.29</v>
      </c>
      <c r="S50" s="71">
        <f>SUM(S33:S47)</f>
        <v>3076877.62</v>
      </c>
      <c r="T50" s="31">
        <f>IF(S50=0,"",R50/S50)</f>
        <v>0.15498090886045704</v>
      </c>
      <c r="U50" s="29"/>
      <c r="V50" s="57">
        <f>SUM(V33:V49)</f>
        <v>4347.43</v>
      </c>
      <c r="W50" s="57">
        <f>SUM(W33:W49)</f>
        <v>10282.44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372027.80000000005</v>
      </c>
      <c r="AB50" s="57">
        <f>SUM(AB33:AB49)</f>
        <v>1106322.8799999999</v>
      </c>
      <c r="AC50" s="57">
        <f>SUM(AC33:AC49)</f>
        <v>6234500</v>
      </c>
      <c r="AD50" s="31">
        <f>IF(AC50=0,"",AB50/AC50)</f>
        <v>0.17745174111797254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1074761.1100000001</v>
      </c>
      <c r="AL50" s="57">
        <f>SUM(AL33:AL49)</f>
        <v>2522952.11</v>
      </c>
      <c r="AM50" s="57">
        <f>SUM(AM33:AM49)</f>
        <v>18973436.619999997</v>
      </c>
      <c r="AN50" s="31">
        <f>IF(AM50=0,"",AL50/AM50)</f>
        <v>0.13297285887262739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-243008.4</v>
      </c>
      <c r="H51" s="58">
        <f>H29-H50</f>
        <v>-343736.43000000005</v>
      </c>
      <c r="I51" s="58">
        <f>I29-I50</f>
        <v>-2872603.9699999997</v>
      </c>
      <c r="J51" s="31">
        <f>IF(I51=0,"",H51/I51)</f>
        <v>0.11966022242878126</v>
      </c>
      <c r="K51" s="29"/>
      <c r="L51" s="58">
        <f>L29-L50</f>
        <v>55.830000000001746</v>
      </c>
      <c r="M51" s="58">
        <f>M29-M50</f>
        <v>-26843.300000000025</v>
      </c>
      <c r="N51" s="58">
        <f>N29-N50</f>
        <v>573171.93000000063</v>
      </c>
      <c r="O51" s="31">
        <f>IF(N51=0,"",M51/N51)</f>
        <v>-4.683289357872078E-2</v>
      </c>
      <c r="P51" s="29"/>
      <c r="Q51" s="58">
        <f>Q29-Q50</f>
        <v>244334.28000000003</v>
      </c>
      <c r="R51" s="58">
        <f>R29-R50</f>
        <v>-6704.7199999999139</v>
      </c>
      <c r="S51" s="58">
        <f>S29-S50</f>
        <v>425436.43999999948</v>
      </c>
      <c r="T51" s="31"/>
      <c r="U51" s="29"/>
      <c r="V51" s="58">
        <f>V29-V50</f>
        <v>-3629.9900000000002</v>
      </c>
      <c r="W51" s="58">
        <f>W29-W50</f>
        <v>-9565</v>
      </c>
      <c r="X51" s="58">
        <f>X29-X50</f>
        <v>0</v>
      </c>
      <c r="Y51" s="31" t="str">
        <f>IF(X51=0,"",W51/X51)</f>
        <v/>
      </c>
      <c r="Z51" s="29"/>
      <c r="AA51" s="58">
        <f>AA29-AA50</f>
        <v>310044.45999999996</v>
      </c>
      <c r="AB51" s="58">
        <f>AB29-AB50</f>
        <v>-185267.36999999988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307796.17999999993</v>
      </c>
      <c r="AL51" s="58">
        <f>AL29-AL50</f>
        <v>-572116.81999999983</v>
      </c>
      <c r="AM51" s="58">
        <f>AM29-AM50</f>
        <v>-1873995.5999999978</v>
      </c>
      <c r="AN51" s="31">
        <f>IF(AM51=0,"",AL51/AM51)</f>
        <v>0.30529250975829425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195109.85</v>
      </c>
      <c r="H54" s="19">
        <v>455673.2</v>
      </c>
      <c r="I54" s="19">
        <v>2651707.31</v>
      </c>
      <c r="J54" s="8">
        <f>IF(I54=0,"%",H54/I54)</f>
        <v>0.17184143901613336</v>
      </c>
      <c r="K54" s="29"/>
      <c r="L54" s="19">
        <v>0</v>
      </c>
      <c r="M54" s="19">
        <v>0</v>
      </c>
      <c r="N54" s="2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195109.85</v>
      </c>
      <c r="AL54" s="23">
        <f t="shared" si="28"/>
        <v>455673.2</v>
      </c>
      <c r="AM54" s="23">
        <f t="shared" si="28"/>
        <v>2651707.31</v>
      </c>
      <c r="AN54" s="8">
        <f>IF(AM54=0,"%",AL54/AM54)</f>
        <v>0.17184143901613336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29">
        <v>0</v>
      </c>
      <c r="O55" s="8" t="str">
        <f>IF(N55=0,"%",M55/N55)</f>
        <v>%</v>
      </c>
      <c r="P55" s="29"/>
      <c r="Q55" s="19">
        <v>0</v>
      </c>
      <c r="R55" s="19">
        <v>0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9">
        <v>0</v>
      </c>
      <c r="Y55" s="8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0</v>
      </c>
      <c r="AL55" s="23">
        <f t="shared" si="28"/>
        <v>0</v>
      </c>
      <c r="AM55" s="23">
        <f t="shared" si="28"/>
        <v>40000</v>
      </c>
      <c r="AN55" s="8">
        <f>IF(AM55=0,"%",AL55/AM55)</f>
        <v>0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195109.85</v>
      </c>
      <c r="H56" s="30">
        <f>SUM(H54-H55)</f>
        <v>455673.2</v>
      </c>
      <c r="I56" s="30">
        <f>SUM(I54:I55)</f>
        <v>2691707.31</v>
      </c>
      <c r="J56" s="31">
        <f>IF(I56=0,"",H56/I56)</f>
        <v>0.16928779674785666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0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195109.85</v>
      </c>
      <c r="AL56" s="30">
        <f>AL54-AL55</f>
        <v>455673.2</v>
      </c>
      <c r="AM56" s="30">
        <f>SUM(AM54:AM55)</f>
        <v>2691707.31</v>
      </c>
      <c r="AN56" s="31">
        <f>IF(AM56=0,"",AL56/AM56)</f>
        <v>0.16928779674785666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111936.76999999996</v>
      </c>
      <c r="I58" s="59"/>
      <c r="J58" s="60" t="str">
        <f>IF(I58=0,"",H58/I58)</f>
        <v/>
      </c>
      <c r="K58" s="59"/>
      <c r="L58" s="59"/>
      <c r="M58" s="59">
        <f>M29-M50+M56</f>
        <v>-26843.300000000025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R29-R50+R56</f>
        <v>-6704.7199999999139</v>
      </c>
      <c r="S58" s="59"/>
      <c r="T58" s="59"/>
      <c r="U58" s="59"/>
      <c r="V58" s="59"/>
      <c r="W58" s="59">
        <f>W29-W50+W56</f>
        <v>-9565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-185267.36999999988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-116443.61999999982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111936.76999999996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-26843.300000000025</v>
      </c>
      <c r="N63" s="65">
        <f>N61+N58</f>
        <v>573171.93000000063</v>
      </c>
      <c r="O63" s="63">
        <f>IF(N63=0,"%",M63/N63)</f>
        <v>-4.683289357872078E-2</v>
      </c>
      <c r="P63" s="64"/>
      <c r="Q63" s="65">
        <f>Q61+Q58</f>
        <v>0</v>
      </c>
      <c r="R63" s="65">
        <f>R61+R58</f>
        <v>-6704.7199999999139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-9565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-185267.36999999988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-116443.61999999982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102</v>
      </c>
      <c r="AN64" s="4" t="s">
        <v>104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A60"/>
  <sheetViews>
    <sheetView view="pageBreakPreview" topLeftCell="C1" zoomScale="60" zoomScaleNormal="70" workbookViewId="0">
      <selection activeCell="N41" sqref="N41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customWidth="1"/>
    <col min="7" max="7" width="17.7109375" style="4" customWidth="1"/>
    <col min="8" max="8" width="17" style="4" customWidth="1"/>
    <col min="9" max="9" width="17.85546875" style="4" customWidth="1"/>
    <col min="10" max="10" width="13.7109375" style="4" customWidth="1"/>
    <col min="11" max="11" width="1.42578125" style="4" customWidth="1"/>
    <col min="12" max="12" width="16.7109375" style="4" customWidth="1"/>
    <col min="13" max="13" width="17" style="4" customWidth="1"/>
    <col min="14" max="14" width="17.85546875" style="4" customWidth="1"/>
    <col min="15" max="15" width="12.140625" style="4" customWidth="1"/>
    <col min="16" max="16" width="1.5703125" style="4" customWidth="1"/>
    <col min="17" max="17" width="16.7109375" style="4" customWidth="1"/>
    <col min="18" max="18" width="17" style="4" customWidth="1"/>
    <col min="19" max="19" width="17.85546875" style="4" customWidth="1"/>
    <col min="20" max="20" width="13.42578125" style="4" customWidth="1"/>
    <col min="21" max="21" width="1.42578125" style="5" customWidth="1"/>
    <col min="22" max="22" width="16.7109375" style="4" customWidth="1"/>
    <col min="23" max="23" width="17" style="4" customWidth="1"/>
    <col min="24" max="24" width="17.85546875" style="4" customWidth="1"/>
    <col min="25" max="25" width="13.42578125" style="4" customWidth="1"/>
    <col min="26" max="26" width="1.5703125" style="4" customWidth="1"/>
    <col min="27" max="27" width="16.7109375" style="4" customWidth="1"/>
    <col min="28" max="28" width="19.140625" style="4" customWidth="1"/>
    <col min="29" max="29" width="18.28515625" style="4" customWidth="1"/>
    <col min="30" max="30" width="13.42578125" style="4" customWidth="1"/>
    <col min="31" max="31" width="1.5703125" style="4" customWidth="1"/>
    <col min="32" max="32" width="16.7109375" style="4" customWidth="1"/>
    <col min="33" max="33" width="19.140625" style="4" customWidth="1"/>
    <col min="34" max="34" width="18.28515625" style="4" customWidth="1"/>
    <col min="35" max="35" width="13.42578125" style="4" customWidth="1"/>
    <col min="36" max="36" width="1.5703125" style="4" customWidth="1"/>
    <col min="37" max="37" width="16.7109375" style="4" customWidth="1"/>
    <col min="38" max="38" width="19.140625" style="4" customWidth="1"/>
    <col min="39" max="39" width="18.28515625" style="4" customWidth="1"/>
    <col min="40" max="40" width="13.42578125" style="4" customWidth="1"/>
    <col min="41" max="41" width="2.28515625" style="4" customWidth="1"/>
    <col min="42" max="42" width="16.7109375" style="4" customWidth="1"/>
    <col min="43" max="43" width="19.140625" style="4" customWidth="1"/>
    <col min="44" max="44" width="18.28515625" style="4" customWidth="1"/>
    <col min="45" max="45" width="13.42578125" style="4" customWidth="1"/>
    <col min="46" max="46" width="2" style="4" customWidth="1"/>
    <col min="47" max="47" width="16.7109375" style="4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6" t="s">
        <v>86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</row>
    <row r="2" spans="1:50" ht="23.25" x14ac:dyDescent="0.35">
      <c r="A2" s="45"/>
      <c r="B2" s="46"/>
      <c r="C2" s="126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</row>
    <row r="3" spans="1:50" ht="23.25" x14ac:dyDescent="0.35">
      <c r="A3" s="45"/>
      <c r="B3" s="46"/>
      <c r="C3" s="126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</row>
    <row r="4" spans="1:50" ht="23.25" x14ac:dyDescent="0.35">
      <c r="A4" s="45"/>
      <c r="B4" s="46"/>
      <c r="C4" s="126" t="s">
        <v>81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</row>
    <row r="5" spans="1:50" ht="28.5" customHeight="1" x14ac:dyDescent="0.25">
      <c r="A5" s="45"/>
      <c r="B5" s="46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  <c r="AA5" s="78"/>
      <c r="AB5" s="78"/>
      <c r="AC5" s="78"/>
      <c r="AD5" s="78"/>
      <c r="AE5" s="79"/>
      <c r="AF5" s="78"/>
      <c r="AG5" s="78"/>
      <c r="AH5" s="78"/>
      <c r="AI5" s="78"/>
      <c r="AJ5" s="79"/>
      <c r="AK5" s="78"/>
      <c r="AL5" s="78"/>
      <c r="AM5" s="78"/>
      <c r="AN5" s="78"/>
      <c r="AO5" s="79"/>
      <c r="AP5" s="78"/>
      <c r="AQ5" s="78"/>
      <c r="AR5" s="78"/>
      <c r="AS5" s="78"/>
      <c r="AT5" s="79"/>
      <c r="AU5" s="78"/>
      <c r="AV5" s="78"/>
      <c r="AW5" s="78"/>
      <c r="AX5" s="78"/>
    </row>
    <row r="6" spans="1:50" ht="16.5" x14ac:dyDescent="0.25">
      <c r="A6" s="45"/>
      <c r="B6" s="46"/>
      <c r="C6" s="78"/>
      <c r="D6" s="80" t="s">
        <v>2</v>
      </c>
      <c r="E6" s="78">
        <f>'1351'!E6+'1361'!E8+'1401'!E8+'1421'!E8+'1601'!E8+'1621'!E8+'1721'!E8</f>
        <v>5034.93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9"/>
      <c r="AF6" s="78"/>
      <c r="AG6" s="78"/>
      <c r="AH6" s="78"/>
      <c r="AI6" s="78"/>
      <c r="AJ6" s="79"/>
      <c r="AK6" s="78"/>
      <c r="AL6" s="78"/>
      <c r="AM6" s="78"/>
      <c r="AN6" s="78"/>
      <c r="AO6" s="79"/>
      <c r="AP6" s="78"/>
      <c r="AQ6" s="78"/>
      <c r="AR6" s="78"/>
      <c r="AS6" s="78"/>
      <c r="AT6" s="79"/>
      <c r="AU6" s="78"/>
      <c r="AV6" s="78"/>
      <c r="AW6" s="78"/>
      <c r="AX6" s="78"/>
    </row>
    <row r="7" spans="1:50" ht="16.5" x14ac:dyDescent="0.25">
      <c r="A7" s="45"/>
      <c r="B7" s="46"/>
      <c r="C7" s="78"/>
      <c r="D7" s="80" t="s">
        <v>3</v>
      </c>
      <c r="E7" s="78">
        <f>E6</f>
        <v>5034.93</v>
      </c>
      <c r="F7" s="78"/>
      <c r="G7" s="81"/>
      <c r="H7" s="82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9"/>
      <c r="AF7" s="78"/>
      <c r="AG7" s="78"/>
      <c r="AH7" s="78"/>
      <c r="AI7" s="78"/>
      <c r="AJ7" s="79"/>
      <c r="AK7" s="78"/>
      <c r="AL7" s="78"/>
      <c r="AM7" s="78"/>
      <c r="AN7" s="78"/>
      <c r="AO7" s="79"/>
      <c r="AP7" s="78"/>
      <c r="AQ7" s="78"/>
      <c r="AR7" s="78"/>
      <c r="AS7" s="78"/>
      <c r="AT7" s="79"/>
      <c r="AU7" s="78"/>
      <c r="AV7" s="78"/>
      <c r="AW7" s="78"/>
      <c r="AX7" s="78"/>
    </row>
    <row r="8" spans="1:50" ht="16.5" x14ac:dyDescent="0.25">
      <c r="A8" s="45"/>
      <c r="B8" s="46"/>
      <c r="C8" s="78"/>
      <c r="D8" s="80"/>
      <c r="E8" s="125"/>
      <c r="F8" s="78"/>
      <c r="G8" s="137" t="s">
        <v>87</v>
      </c>
      <c r="H8" s="138"/>
      <c r="I8" s="138"/>
      <c r="J8" s="139"/>
      <c r="K8" s="78"/>
      <c r="L8" s="137" t="s">
        <v>88</v>
      </c>
      <c r="M8" s="138"/>
      <c r="N8" s="138"/>
      <c r="O8" s="139"/>
      <c r="P8" s="78"/>
      <c r="Q8" s="137" t="s">
        <v>89</v>
      </c>
      <c r="R8" s="138"/>
      <c r="S8" s="138"/>
      <c r="T8" s="139"/>
      <c r="U8" s="78"/>
      <c r="V8" s="137" t="s">
        <v>90</v>
      </c>
      <c r="W8" s="138"/>
      <c r="X8" s="138"/>
      <c r="Y8" s="139"/>
      <c r="Z8" s="79"/>
      <c r="AA8" s="137" t="s">
        <v>91</v>
      </c>
      <c r="AB8" s="138"/>
      <c r="AC8" s="138"/>
      <c r="AD8" s="139"/>
      <c r="AE8" s="79"/>
      <c r="AF8" s="137" t="s">
        <v>92</v>
      </c>
      <c r="AG8" s="138"/>
      <c r="AH8" s="138"/>
      <c r="AI8" s="139"/>
      <c r="AJ8" s="79"/>
      <c r="AK8" s="137" t="s">
        <v>93</v>
      </c>
      <c r="AL8" s="138"/>
      <c r="AM8" s="138"/>
      <c r="AN8" s="139"/>
      <c r="AO8" s="79"/>
      <c r="AP8" s="137" t="s">
        <v>94</v>
      </c>
      <c r="AQ8" s="138"/>
      <c r="AR8" s="138"/>
      <c r="AS8" s="139"/>
      <c r="AT8" s="79"/>
      <c r="AU8" s="143" t="s">
        <v>95</v>
      </c>
      <c r="AV8" s="144"/>
      <c r="AW8" s="144"/>
      <c r="AX8" s="145"/>
    </row>
    <row r="9" spans="1:50" ht="16.5" x14ac:dyDescent="0.25">
      <c r="A9" s="45"/>
      <c r="B9" s="46"/>
      <c r="C9" s="78"/>
      <c r="D9" s="80"/>
      <c r="E9" s="125"/>
      <c r="F9" s="80"/>
      <c r="G9" s="134"/>
      <c r="H9" s="135"/>
      <c r="I9" s="135"/>
      <c r="J9" s="136"/>
      <c r="K9" s="82"/>
      <c r="L9" s="134"/>
      <c r="M9" s="135"/>
      <c r="N9" s="135"/>
      <c r="O9" s="136"/>
      <c r="P9" s="82"/>
      <c r="Q9" s="134"/>
      <c r="R9" s="135"/>
      <c r="S9" s="135"/>
      <c r="T9" s="136"/>
      <c r="U9" s="78"/>
      <c r="V9" s="134"/>
      <c r="W9" s="135"/>
      <c r="X9" s="135"/>
      <c r="Y9" s="136"/>
      <c r="Z9" s="79"/>
      <c r="AA9" s="134"/>
      <c r="AB9" s="135"/>
      <c r="AC9" s="135"/>
      <c r="AD9" s="136"/>
      <c r="AE9" s="79"/>
      <c r="AF9" s="134"/>
      <c r="AG9" s="135"/>
      <c r="AH9" s="135"/>
      <c r="AI9" s="136"/>
      <c r="AJ9" s="79"/>
      <c r="AK9" s="134"/>
      <c r="AL9" s="135"/>
      <c r="AM9" s="135"/>
      <c r="AN9" s="136"/>
      <c r="AO9" s="79"/>
      <c r="AP9" s="134"/>
      <c r="AQ9" s="135"/>
      <c r="AR9" s="135"/>
      <c r="AS9" s="136"/>
      <c r="AT9" s="79"/>
      <c r="AU9" s="140" t="s">
        <v>98</v>
      </c>
      <c r="AV9" s="141"/>
      <c r="AW9" s="141"/>
      <c r="AX9" s="142"/>
    </row>
    <row r="10" spans="1:50" s="2" customFormat="1" ht="66" x14ac:dyDescent="0.25">
      <c r="A10" s="47"/>
      <c r="B10" s="48"/>
      <c r="C10" s="83"/>
      <c r="D10" s="84"/>
      <c r="E10" s="85" t="s">
        <v>10</v>
      </c>
      <c r="F10" s="84"/>
      <c r="G10" s="146" t="s">
        <v>11</v>
      </c>
      <c r="H10" s="85" t="s">
        <v>12</v>
      </c>
      <c r="I10" s="85" t="s">
        <v>13</v>
      </c>
      <c r="J10" s="85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4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9"/>
      <c r="AA11" s="78"/>
      <c r="AB11" s="78"/>
      <c r="AC11" s="78"/>
      <c r="AD11" s="78"/>
      <c r="AE11" s="79"/>
      <c r="AF11" s="78"/>
      <c r="AG11" s="78"/>
      <c r="AH11" s="78"/>
      <c r="AI11" s="78"/>
      <c r="AJ11" s="79"/>
      <c r="AK11" s="78"/>
      <c r="AL11" s="78"/>
      <c r="AM11" s="78"/>
      <c r="AN11" s="78"/>
      <c r="AO11" s="79"/>
      <c r="AP11" s="78"/>
      <c r="AQ11" s="78"/>
      <c r="AR11" s="78"/>
      <c r="AS11" s="78"/>
      <c r="AT11" s="79"/>
      <c r="AU11" s="78"/>
      <c r="AV11" s="90"/>
      <c r="AW11" s="90"/>
      <c r="AX11" s="90"/>
    </row>
    <row r="12" spans="1:50" ht="16.5" x14ac:dyDescent="0.25">
      <c r="A12" s="49"/>
      <c r="B12" s="46"/>
      <c r="C12" s="82" t="s">
        <v>15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9"/>
      <c r="AF12" s="78"/>
      <c r="AG12" s="78"/>
      <c r="AH12" s="78"/>
      <c r="AI12" s="78"/>
      <c r="AJ12" s="79"/>
      <c r="AK12" s="78"/>
      <c r="AL12" s="78"/>
      <c r="AM12" s="78"/>
      <c r="AN12" s="78"/>
      <c r="AO12" s="79"/>
      <c r="AP12" s="78"/>
      <c r="AQ12" s="78"/>
      <c r="AR12" s="78"/>
      <c r="AS12" s="78"/>
      <c r="AT12" s="79"/>
      <c r="AU12" s="78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2" t="s">
        <v>17</v>
      </c>
      <c r="D13" s="89" t="s">
        <v>16</v>
      </c>
      <c r="E13" s="80"/>
      <c r="F13" s="78"/>
      <c r="G13" s="90"/>
      <c r="H13" s="90"/>
      <c r="I13" s="90"/>
      <c r="J13" s="90"/>
      <c r="K13" s="90"/>
      <c r="L13" s="90"/>
      <c r="M13" s="90"/>
      <c r="N13" s="90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9"/>
      <c r="AF13" s="78"/>
      <c r="AG13" s="78"/>
      <c r="AH13" s="78"/>
      <c r="AI13" s="78"/>
      <c r="AJ13" s="79"/>
      <c r="AK13" s="78"/>
      <c r="AL13" s="78"/>
      <c r="AM13" s="78"/>
      <c r="AN13" s="78"/>
      <c r="AO13" s="79"/>
      <c r="AP13" s="78"/>
      <c r="AQ13" s="78"/>
      <c r="AR13" s="78"/>
      <c r="AS13" s="78"/>
      <c r="AT13" s="79"/>
      <c r="AU13" s="78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2" t="s">
        <v>17</v>
      </c>
      <c r="D14" s="89" t="s">
        <v>18</v>
      </c>
      <c r="E14" s="91">
        <v>3100</v>
      </c>
      <c r="F14" s="78"/>
      <c r="G14" s="92">
        <v>0</v>
      </c>
      <c r="H14" s="92">
        <f>'1351'!H14</f>
        <v>0</v>
      </c>
      <c r="I14" s="92">
        <f>'1351'!I14</f>
        <v>0</v>
      </c>
      <c r="J14" s="93" t="s">
        <v>96</v>
      </c>
      <c r="K14" s="94"/>
      <c r="L14" s="92">
        <v>0</v>
      </c>
      <c r="M14" s="92">
        <f>'1361'!H16</f>
        <v>0</v>
      </c>
      <c r="N14" s="92">
        <f>'1361'!I16</f>
        <v>0</v>
      </c>
      <c r="O14" s="81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1" t="str">
        <f>IF(S14=0,"%",R14/S14)</f>
        <v>%</v>
      </c>
      <c r="U14" s="78"/>
      <c r="V14" s="96" t="e">
        <f>L14+#REF!+Q14</f>
        <v>#REF!</v>
      </c>
      <c r="W14" s="92">
        <f>'1421'!H16</f>
        <v>0</v>
      </c>
      <c r="X14" s="92">
        <f>'1421'!I16</f>
        <v>0</v>
      </c>
      <c r="Y14" s="81" t="str">
        <f>IF(X14=0,"%",W14/X14)</f>
        <v>%</v>
      </c>
      <c r="Z14" s="79"/>
      <c r="AA14" s="96" t="e">
        <f>#REF!+Q14+V14</f>
        <v>#REF!</v>
      </c>
      <c r="AB14" s="92">
        <f>'1601'!H16</f>
        <v>0</v>
      </c>
      <c r="AC14" s="92">
        <f>'1601'!I16</f>
        <v>0</v>
      </c>
      <c r="AD14" s="81" t="str">
        <f>IF(AC14=0,"%",AB14/AC14)</f>
        <v>%</v>
      </c>
      <c r="AE14" s="79"/>
      <c r="AF14" s="92">
        <v>0</v>
      </c>
      <c r="AG14" s="92">
        <f>'1621'!H16</f>
        <v>0</v>
      </c>
      <c r="AH14" s="96">
        <f>'1621'!I16</f>
        <v>0</v>
      </c>
      <c r="AI14" s="81" t="str">
        <f>IF(AH14=0,"%",AG14/AH14)</f>
        <v>%</v>
      </c>
      <c r="AJ14" s="79"/>
      <c r="AK14" s="96" t="e">
        <f>V14+AA14+AF14</f>
        <v>#REF!</v>
      </c>
      <c r="AL14" s="96">
        <f>'1721'!H16</f>
        <v>0</v>
      </c>
      <c r="AM14" s="96">
        <f>'1721'!I16</f>
        <v>0</v>
      </c>
      <c r="AN14" s="81" t="str">
        <f>IF(AM14=0,"%",AL14/AM14)</f>
        <v>%</v>
      </c>
      <c r="AO14" s="79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1" t="str">
        <f>IF(AR14=0,"%",AQ14/AR14)</f>
        <v>%</v>
      </c>
      <c r="AT14" s="79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2" t="s">
        <v>17</v>
      </c>
      <c r="D15" s="89" t="s">
        <v>19</v>
      </c>
      <c r="E15" s="97">
        <v>3200</v>
      </c>
      <c r="F15" s="78"/>
      <c r="G15" s="92">
        <v>0</v>
      </c>
      <c r="H15" s="92">
        <f>'1351'!H15</f>
        <v>0</v>
      </c>
      <c r="I15" s="92">
        <f>'1351'!I15</f>
        <v>0</v>
      </c>
      <c r="J15" s="93" t="s">
        <v>96</v>
      </c>
      <c r="K15" s="98"/>
      <c r="L15" s="92">
        <v>0</v>
      </c>
      <c r="M15" s="92">
        <f>'1361'!H17</f>
        <v>0</v>
      </c>
      <c r="N15" s="92">
        <f>'1361'!I17</f>
        <v>0</v>
      </c>
      <c r="O15" s="81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1" t="str">
        <f>IF(S15=0,"%",R15/S15)</f>
        <v>%</v>
      </c>
      <c r="U15" s="78"/>
      <c r="V15" s="96" t="e">
        <f>L15+#REF!+Q15</f>
        <v>#REF!</v>
      </c>
      <c r="W15" s="92">
        <f>'1421'!H17</f>
        <v>0</v>
      </c>
      <c r="X15" s="92">
        <f>'1421'!I17</f>
        <v>0</v>
      </c>
      <c r="Y15" s="81" t="str">
        <f>IF(X15=0,"%",W15/X15)</f>
        <v>%</v>
      </c>
      <c r="Z15" s="79"/>
      <c r="AA15" s="96" t="e">
        <f>#REF!+Q15+V15</f>
        <v>#REF!</v>
      </c>
      <c r="AB15" s="92">
        <f>'1601'!H17</f>
        <v>0</v>
      </c>
      <c r="AC15" s="92">
        <f>'1601'!I17</f>
        <v>0</v>
      </c>
      <c r="AD15" s="81" t="str">
        <f>IF(AC15=0,"%",AB15/AC15)</f>
        <v>%</v>
      </c>
      <c r="AE15" s="79"/>
      <c r="AF15" s="92">
        <v>0</v>
      </c>
      <c r="AG15" s="92">
        <f>'1621'!H17</f>
        <v>0</v>
      </c>
      <c r="AH15" s="96">
        <f>'1621'!I17</f>
        <v>0</v>
      </c>
      <c r="AI15" s="81" t="str">
        <f>IF(AH15=0,"%",AG15/AH15)</f>
        <v>%</v>
      </c>
      <c r="AJ15" s="79"/>
      <c r="AK15" s="96" t="e">
        <f>V15+AA15+AF15</f>
        <v>#REF!</v>
      </c>
      <c r="AL15" s="96">
        <f>'1721'!H17</f>
        <v>0</v>
      </c>
      <c r="AM15" s="96">
        <f>'1721'!I17</f>
        <v>0</v>
      </c>
      <c r="AN15" s="81" t="str">
        <f>IF(AM15=0,"%",AL15/AM15)</f>
        <v>%</v>
      </c>
      <c r="AO15" s="79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1" t="str">
        <f>IF(AR15=0,"%",AQ15/AR15)</f>
        <v>%</v>
      </c>
      <c r="AT15" s="79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2" t="s">
        <v>17</v>
      </c>
      <c r="D16" s="89" t="s">
        <v>20</v>
      </c>
      <c r="E16" s="91"/>
      <c r="F16" s="78"/>
      <c r="G16" s="92"/>
      <c r="H16" s="92"/>
      <c r="I16" s="92"/>
      <c r="J16" s="93"/>
      <c r="K16" s="90"/>
      <c r="L16" s="92"/>
      <c r="M16" s="92"/>
      <c r="N16" s="92"/>
      <c r="O16" s="81"/>
      <c r="P16" s="78"/>
      <c r="Q16" s="96"/>
      <c r="R16" s="92"/>
      <c r="S16" s="92"/>
      <c r="T16" s="81"/>
      <c r="U16" s="78"/>
      <c r="V16" s="96"/>
      <c r="W16" s="92"/>
      <c r="X16" s="92"/>
      <c r="Y16" s="81"/>
      <c r="Z16" s="79"/>
      <c r="AA16" s="96"/>
      <c r="AB16" s="92"/>
      <c r="AC16" s="92"/>
      <c r="AD16" s="81"/>
      <c r="AE16" s="79"/>
      <c r="AF16" s="96"/>
      <c r="AG16" s="92"/>
      <c r="AH16" s="96"/>
      <c r="AI16" s="81"/>
      <c r="AJ16" s="79"/>
      <c r="AK16" s="96"/>
      <c r="AL16" s="96"/>
      <c r="AM16" s="96"/>
      <c r="AN16" s="81"/>
      <c r="AO16" s="79"/>
      <c r="AP16" s="96"/>
      <c r="AQ16" s="96"/>
      <c r="AR16" s="96"/>
      <c r="AS16" s="81"/>
      <c r="AT16" s="79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2" t="s">
        <v>17</v>
      </c>
      <c r="D17" s="89" t="s">
        <v>21</v>
      </c>
      <c r="E17" s="91">
        <v>3310</v>
      </c>
      <c r="F17" s="78"/>
      <c r="G17" s="92">
        <v>336118.82</v>
      </c>
      <c r="H17" s="92">
        <f>'1351'!H17</f>
        <v>670602.67000000004</v>
      </c>
      <c r="I17" s="92">
        <f>'1351'!I17</f>
        <v>3697307</v>
      </c>
      <c r="J17" s="93">
        <v>9.0909091400849323E-2</v>
      </c>
      <c r="K17" s="98"/>
      <c r="L17" s="92">
        <v>0</v>
      </c>
      <c r="M17" s="92">
        <f>'1361'!H19</f>
        <v>851657.79</v>
      </c>
      <c r="N17" s="92">
        <f>'1361'!I19</f>
        <v>4509675</v>
      </c>
      <c r="O17" s="81">
        <f t="shared" ref="O17:O22" si="3">IF(N17=0,"%",M17/N17)</f>
        <v>0.18885125646526635</v>
      </c>
      <c r="P17" s="99"/>
      <c r="Q17" s="96" t="e">
        <f>G17+L17+#REF!</f>
        <v>#REF!</v>
      </c>
      <c r="R17" s="92">
        <f>'1401'!H19</f>
        <v>539737.78</v>
      </c>
      <c r="S17" s="92">
        <f>'1401'!I19</f>
        <v>3229207</v>
      </c>
      <c r="T17" s="81">
        <f t="shared" ref="T17:T22" si="4">IF(S17=0,"%",R17/S17)</f>
        <v>0.16714251517477821</v>
      </c>
      <c r="U17" s="78"/>
      <c r="V17" s="96" t="e">
        <f>L17+#REF!+Q17</f>
        <v>#REF!</v>
      </c>
      <c r="W17" s="92">
        <f>'1421'!H19</f>
        <v>583378.55000000005</v>
      </c>
      <c r="X17" s="92">
        <f>'1421'!I19</f>
        <v>3220704</v>
      </c>
      <c r="Y17" s="81">
        <f t="shared" ref="Y17:Y22" si="5">IF(X17=0,"%",W17/X17)</f>
        <v>0.18113386079565214</v>
      </c>
      <c r="Z17" s="79"/>
      <c r="AA17" s="96" t="e">
        <f>#REF!+Q17+V17</f>
        <v>#REF!</v>
      </c>
      <c r="AB17" s="92">
        <f>'1601'!H19</f>
        <v>737373.92</v>
      </c>
      <c r="AC17" s="92">
        <f>'1601'!I19</f>
        <v>4095784</v>
      </c>
      <c r="AD17" s="81">
        <f t="shared" ref="AD17:AD22" si="6">IF(AC17=0,"%",AB17/AC17)</f>
        <v>0.18003242358483748</v>
      </c>
      <c r="AE17" s="79"/>
      <c r="AF17" s="92">
        <v>0</v>
      </c>
      <c r="AG17" s="92">
        <f>'1621'!H19</f>
        <v>758965.82</v>
      </c>
      <c r="AH17" s="96">
        <f>'1621'!I19</f>
        <v>4757900</v>
      </c>
      <c r="AI17" s="81">
        <f t="shared" ref="AI17:AI22" si="7">IF(AH17=0,"%",AG17/AH17)</f>
        <v>0.15951697597679648</v>
      </c>
      <c r="AJ17" s="79"/>
      <c r="AK17" s="96" t="e">
        <f t="shared" ref="AK17:AK22" si="8">V17+AA17+AF17</f>
        <v>#REF!</v>
      </c>
      <c r="AL17" s="96">
        <f>'1721'!H19</f>
        <v>1838799.54</v>
      </c>
      <c r="AM17" s="96">
        <f>'1721'!I19</f>
        <v>10170242</v>
      </c>
      <c r="AN17" s="81">
        <f t="shared" ref="AN17:AN22" si="9">IF(AM17=0,"%",AL17/AM17)</f>
        <v>0.18080194551909384</v>
      </c>
      <c r="AO17" s="79"/>
      <c r="AP17" s="96" t="e">
        <f t="shared" ref="AP17:AP22" si="10">AA17+AF17+AK17</f>
        <v>#REF!</v>
      </c>
      <c r="AQ17" s="96">
        <f>'9000'!H16</f>
        <v>0</v>
      </c>
      <c r="AR17" s="96">
        <f>'9000'!I16</f>
        <v>251853</v>
      </c>
      <c r="AS17" s="81">
        <f t="shared" ref="AS17:AS22" si="11">IF(AR17=0,"%",AQ17/AR17)</f>
        <v>0</v>
      </c>
      <c r="AT17" s="79"/>
      <c r="AU17" s="96" t="e">
        <f t="shared" ref="AU17:AU22" si="12">AF17+AK17+AP17</f>
        <v>#REF!</v>
      </c>
      <c r="AV17" s="92">
        <f t="shared" si="1"/>
        <v>5980516.0700000003</v>
      </c>
      <c r="AW17" s="92">
        <f t="shared" si="2"/>
        <v>33932672</v>
      </c>
      <c r="AX17" s="93">
        <f t="shared" ref="AX17:AX22" si="13">IF(AW17=0,"%",AV17/AW17)</f>
        <v>0.17624654109172425</v>
      </c>
    </row>
    <row r="18" spans="1:50" ht="16.5" x14ac:dyDescent="0.25">
      <c r="A18" s="49" t="str">
        <f t="shared" si="0"/>
        <v>Revenues</v>
      </c>
      <c r="B18" s="15" t="s">
        <v>20</v>
      </c>
      <c r="C18" s="82" t="s">
        <v>17</v>
      </c>
      <c r="D18" s="89" t="s">
        <v>22</v>
      </c>
      <c r="E18" s="91">
        <v>3397</v>
      </c>
      <c r="F18" s="78"/>
      <c r="G18" s="92">
        <v>0</v>
      </c>
      <c r="H18" s="92">
        <f>'1351'!H18</f>
        <v>0</v>
      </c>
      <c r="I18" s="92">
        <f>'1351'!I18</f>
        <v>0</v>
      </c>
      <c r="J18" s="93" t="s">
        <v>96</v>
      </c>
      <c r="K18" s="98"/>
      <c r="L18" s="92">
        <v>0</v>
      </c>
      <c r="M18" s="92">
        <f>'1361'!H20</f>
        <v>0</v>
      </c>
      <c r="N18" s="92">
        <f>'1361'!I20</f>
        <v>0</v>
      </c>
      <c r="O18" s="81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1" t="str">
        <f t="shared" si="4"/>
        <v>%</v>
      </c>
      <c r="U18" s="78"/>
      <c r="V18" s="96" t="e">
        <f>L18+#REF!+Q18</f>
        <v>#REF!</v>
      </c>
      <c r="W18" s="92">
        <f>'1421'!H20</f>
        <v>0</v>
      </c>
      <c r="X18" s="92">
        <f>'1421'!I20</f>
        <v>0</v>
      </c>
      <c r="Y18" s="81" t="str">
        <f t="shared" si="5"/>
        <v>%</v>
      </c>
      <c r="Z18" s="79"/>
      <c r="AA18" s="96" t="e">
        <f>#REF!+Q18+V18</f>
        <v>#REF!</v>
      </c>
      <c r="AB18" s="92">
        <f>'1601'!H20</f>
        <v>0</v>
      </c>
      <c r="AC18" s="92">
        <f>'1601'!I20</f>
        <v>0</v>
      </c>
      <c r="AD18" s="81" t="str">
        <f t="shared" si="6"/>
        <v>%</v>
      </c>
      <c r="AE18" s="79"/>
      <c r="AF18" s="92">
        <v>0</v>
      </c>
      <c r="AG18" s="92">
        <f>'1621'!H20</f>
        <v>0</v>
      </c>
      <c r="AH18" s="96">
        <f>'1621'!I20</f>
        <v>0</v>
      </c>
      <c r="AI18" s="81" t="str">
        <f t="shared" si="7"/>
        <v>%</v>
      </c>
      <c r="AJ18" s="79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1" t="str">
        <f t="shared" si="9"/>
        <v>%</v>
      </c>
      <c r="AO18" s="79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1" t="str">
        <f t="shared" si="11"/>
        <v>%</v>
      </c>
      <c r="AT18" s="79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2"/>
      <c r="D19" s="89" t="s">
        <v>63</v>
      </c>
      <c r="E19" s="91">
        <v>3354</v>
      </c>
      <c r="F19" s="78"/>
      <c r="G19" s="92">
        <v>5704.36</v>
      </c>
      <c r="H19" s="92">
        <f>'1351'!H19</f>
        <v>11408.72</v>
      </c>
      <c r="I19" s="92">
        <f>'1351'!I19</f>
        <v>62748</v>
      </c>
      <c r="J19" s="93">
        <v>9.090903295722573E-2</v>
      </c>
      <c r="K19" s="98"/>
      <c r="L19" s="92">
        <v>0</v>
      </c>
      <c r="M19" s="92">
        <f>'1361'!H21</f>
        <v>11180.9</v>
      </c>
      <c r="N19" s="92">
        <f>'1361'!I21</f>
        <v>61495</v>
      </c>
      <c r="O19" s="81">
        <f t="shared" si="3"/>
        <v>0.18181803398650295</v>
      </c>
      <c r="P19" s="99"/>
      <c r="Q19" s="96" t="e">
        <f>G19+L19+#REF!</f>
        <v>#REF!</v>
      </c>
      <c r="R19" s="92">
        <f>'1401'!H21</f>
        <v>18716.72</v>
      </c>
      <c r="S19" s="92">
        <f>'1401'!I21</f>
        <v>102942</v>
      </c>
      <c r="T19" s="81">
        <f t="shared" si="4"/>
        <v>0.18181811116939636</v>
      </c>
      <c r="U19" s="78"/>
      <c r="V19" s="96" t="e">
        <f>L19+#REF!+Q19</f>
        <v>#REF!</v>
      </c>
      <c r="W19" s="92">
        <f>'1421'!H21</f>
        <v>10071.1</v>
      </c>
      <c r="X19" s="92">
        <f>'1421'!I21</f>
        <v>55391</v>
      </c>
      <c r="Y19" s="81">
        <f t="shared" si="5"/>
        <v>0.18181834594067628</v>
      </c>
      <c r="Z19" s="79"/>
      <c r="AA19" s="96" t="e">
        <f>#REF!+Q19+V19</f>
        <v>#REF!</v>
      </c>
      <c r="AB19" s="92">
        <f>'1601'!H21</f>
        <v>40370.9</v>
      </c>
      <c r="AC19" s="92">
        <f>'1601'!I21</f>
        <v>222040</v>
      </c>
      <c r="AD19" s="81">
        <f t="shared" si="6"/>
        <v>0.18181814087551793</v>
      </c>
      <c r="AE19" s="79"/>
      <c r="AF19" s="92">
        <v>0</v>
      </c>
      <c r="AG19" s="92">
        <f>'1621'!H21</f>
        <v>35617.279999999999</v>
      </c>
      <c r="AH19" s="96">
        <f>'1621'!I21</f>
        <v>195895</v>
      </c>
      <c r="AI19" s="81">
        <f t="shared" si="7"/>
        <v>0.18181821894382194</v>
      </c>
      <c r="AJ19" s="79"/>
      <c r="AK19" s="96" t="e">
        <f t="shared" si="8"/>
        <v>#REF!</v>
      </c>
      <c r="AL19" s="96">
        <f>'1721'!H21</f>
        <v>67062.539999999994</v>
      </c>
      <c r="AM19" s="96">
        <f>'1721'!I21</f>
        <v>292729</v>
      </c>
      <c r="AN19" s="81">
        <f t="shared" si="9"/>
        <v>0.22909428174181579</v>
      </c>
      <c r="AO19" s="79"/>
      <c r="AP19" s="96" t="e">
        <f t="shared" si="10"/>
        <v>#REF!</v>
      </c>
      <c r="AQ19" s="96">
        <f>'9000'!H18</f>
        <v>325613.40999999997</v>
      </c>
      <c r="AR19" s="96">
        <f>'9000'!I18</f>
        <v>2676220.7599999998</v>
      </c>
      <c r="AS19" s="81">
        <f t="shared" si="11"/>
        <v>0.12166911447170749</v>
      </c>
      <c r="AT19" s="79"/>
      <c r="AU19" s="96" t="e">
        <f t="shared" si="12"/>
        <v>#REF!</v>
      </c>
      <c r="AV19" s="92">
        <f t="shared" si="1"/>
        <v>520041.56999999995</v>
      </c>
      <c r="AW19" s="92">
        <f t="shared" si="2"/>
        <v>3669460.76</v>
      </c>
      <c r="AX19" s="93">
        <f t="shared" si="13"/>
        <v>0.14172152368240612</v>
      </c>
    </row>
    <row r="20" spans="1:50" ht="16.5" x14ac:dyDescent="0.25">
      <c r="A20" s="49" t="str">
        <f t="shared" si="0"/>
        <v>Revenues</v>
      </c>
      <c r="B20" s="15" t="s">
        <v>20</v>
      </c>
      <c r="C20" s="82" t="s">
        <v>17</v>
      </c>
      <c r="D20" s="89" t="s">
        <v>23</v>
      </c>
      <c r="E20" s="91">
        <v>3355</v>
      </c>
      <c r="F20" s="78"/>
      <c r="G20" s="92">
        <v>50684.27</v>
      </c>
      <c r="H20" s="92">
        <f>'1351'!H20</f>
        <v>101368.54</v>
      </c>
      <c r="I20" s="92">
        <f>'1351'!I20</f>
        <v>557527</v>
      </c>
      <c r="J20" s="93">
        <v>9.0909086017358795E-2</v>
      </c>
      <c r="K20" s="98"/>
      <c r="L20" s="92">
        <v>0</v>
      </c>
      <c r="M20" s="92">
        <f>'1361'!H22</f>
        <v>128718.36</v>
      </c>
      <c r="N20" s="92">
        <f>'1361'!I22</f>
        <v>678615</v>
      </c>
      <c r="O20" s="81">
        <f t="shared" si="3"/>
        <v>0.18967803541035785</v>
      </c>
      <c r="P20" s="99"/>
      <c r="Q20" s="96" t="e">
        <f>G20+L20+#REF!</f>
        <v>#REF!</v>
      </c>
      <c r="R20" s="92">
        <f>'1401'!H22</f>
        <v>81932.36</v>
      </c>
      <c r="S20" s="92">
        <f>'1401'!I22</f>
        <v>470413</v>
      </c>
      <c r="T20" s="81">
        <f t="shared" si="4"/>
        <v>0.17417112197154416</v>
      </c>
      <c r="U20" s="78"/>
      <c r="V20" s="96" t="e">
        <f>L20+#REF!+Q20</f>
        <v>#REF!</v>
      </c>
      <c r="W20" s="92">
        <f>'1421'!H22</f>
        <v>87189.82</v>
      </c>
      <c r="X20" s="92">
        <f>'1421'!I22</f>
        <v>479340</v>
      </c>
      <c r="Y20" s="81">
        <f t="shared" si="5"/>
        <v>0.18189556473484375</v>
      </c>
      <c r="Z20" s="79"/>
      <c r="AA20" s="96" t="e">
        <f>#REF!+Q20+V20</f>
        <v>#REF!</v>
      </c>
      <c r="AB20" s="92">
        <f>'1601'!H22</f>
        <v>105140.36</v>
      </c>
      <c r="AC20" s="92">
        <f>'1601'!I22</f>
        <v>582812</v>
      </c>
      <c r="AD20" s="81">
        <f t="shared" si="6"/>
        <v>0.1804018448487677</v>
      </c>
      <c r="AE20" s="79"/>
      <c r="AF20" s="92">
        <v>0</v>
      </c>
      <c r="AG20" s="92">
        <f>'1621'!H22</f>
        <v>109753.28</v>
      </c>
      <c r="AH20" s="96">
        <f>'1621'!I22</f>
        <v>677570</v>
      </c>
      <c r="AI20" s="81">
        <f t="shared" si="7"/>
        <v>0.16198072523872073</v>
      </c>
      <c r="AJ20" s="79"/>
      <c r="AK20" s="96" t="e">
        <f t="shared" si="8"/>
        <v>#REF!</v>
      </c>
      <c r="AL20" s="96">
        <f>'1721'!H22</f>
        <v>265203.28000000003</v>
      </c>
      <c r="AM20" s="96">
        <f>'1721'!I22</f>
        <v>1458618</v>
      </c>
      <c r="AN20" s="81">
        <f t="shared" si="9"/>
        <v>0.18181818680422154</v>
      </c>
      <c r="AO20" s="79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1" t="str">
        <f t="shared" si="11"/>
        <v>%</v>
      </c>
      <c r="AT20" s="79"/>
      <c r="AU20" s="96" t="e">
        <f t="shared" si="12"/>
        <v>#REF!</v>
      </c>
      <c r="AV20" s="92">
        <f t="shared" si="1"/>
        <v>879306</v>
      </c>
      <c r="AW20" s="92">
        <f t="shared" si="2"/>
        <v>4904895</v>
      </c>
      <c r="AX20" s="93">
        <f t="shared" si="13"/>
        <v>0.17927111589544731</v>
      </c>
    </row>
    <row r="21" spans="1:50" ht="16.5" x14ac:dyDescent="0.25">
      <c r="A21" s="49" t="str">
        <f t="shared" si="0"/>
        <v>Revenues</v>
      </c>
      <c r="B21" s="15" t="s">
        <v>20</v>
      </c>
      <c r="C21" s="82" t="s">
        <v>17</v>
      </c>
      <c r="D21" s="89" t="s">
        <v>24</v>
      </c>
      <c r="E21" s="91">
        <v>3361</v>
      </c>
      <c r="F21" s="78"/>
      <c r="G21" s="92">
        <v>0</v>
      </c>
      <c r="H21" s="92">
        <f>'1351'!H21</f>
        <v>0</v>
      </c>
      <c r="I21" s="92">
        <f>'1351'!I21</f>
        <v>0</v>
      </c>
      <c r="J21" s="93" t="s">
        <v>96</v>
      </c>
      <c r="K21" s="98"/>
      <c r="L21" s="92">
        <v>0</v>
      </c>
      <c r="M21" s="92">
        <f>'1361'!H23</f>
        <v>0</v>
      </c>
      <c r="N21" s="92">
        <f>'1361'!I23</f>
        <v>0</v>
      </c>
      <c r="O21" s="81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1" t="str">
        <f t="shared" si="4"/>
        <v>%</v>
      </c>
      <c r="U21" s="78"/>
      <c r="V21" s="96" t="e">
        <f>L21+#REF!+Q21</f>
        <v>#REF!</v>
      </c>
      <c r="W21" s="92">
        <f>'1421'!H23</f>
        <v>0</v>
      </c>
      <c r="X21" s="92">
        <f>'1421'!I23</f>
        <v>0</v>
      </c>
      <c r="Y21" s="81" t="str">
        <f t="shared" si="5"/>
        <v>%</v>
      </c>
      <c r="Z21" s="79"/>
      <c r="AA21" s="96" t="e">
        <f>#REF!+Q21+V21</f>
        <v>#REF!</v>
      </c>
      <c r="AB21" s="92">
        <f>'1601'!H23</f>
        <v>0</v>
      </c>
      <c r="AC21" s="92">
        <f>'1601'!I23</f>
        <v>0</v>
      </c>
      <c r="AD21" s="81" t="str">
        <f t="shared" si="6"/>
        <v>%</v>
      </c>
      <c r="AE21" s="79"/>
      <c r="AF21" s="92">
        <v>0</v>
      </c>
      <c r="AG21" s="92">
        <f>'1621'!H23</f>
        <v>0</v>
      </c>
      <c r="AH21" s="96">
        <f>'1621'!I23</f>
        <v>0</v>
      </c>
      <c r="AI21" s="81" t="str">
        <f t="shared" si="7"/>
        <v>%</v>
      </c>
      <c r="AJ21" s="79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1" t="str">
        <f t="shared" si="9"/>
        <v>%</v>
      </c>
      <c r="AO21" s="79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1" t="str">
        <f t="shared" si="11"/>
        <v>%</v>
      </c>
      <c r="AT21" s="79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2" t="s">
        <v>17</v>
      </c>
      <c r="D22" s="89" t="s">
        <v>25</v>
      </c>
      <c r="E22" s="91" t="s">
        <v>26</v>
      </c>
      <c r="F22" s="78"/>
      <c r="G22" s="92">
        <v>8100</v>
      </c>
      <c r="H22" s="92">
        <f>'1351'!H22</f>
        <v>8100</v>
      </c>
      <c r="I22" s="92">
        <f>'1351'!I22</f>
        <v>0</v>
      </c>
      <c r="J22" s="93" t="s">
        <v>96</v>
      </c>
      <c r="K22" s="98"/>
      <c r="L22" s="92">
        <v>0</v>
      </c>
      <c r="M22" s="92">
        <f>'1361'!H24</f>
        <v>11100</v>
      </c>
      <c r="N22" s="92">
        <f>'1361'!I24</f>
        <v>0</v>
      </c>
      <c r="O22" s="81" t="str">
        <f t="shared" si="3"/>
        <v>%</v>
      </c>
      <c r="P22" s="99"/>
      <c r="Q22" s="96" t="e">
        <f>G22+L22+#REF!</f>
        <v>#REF!</v>
      </c>
      <c r="R22" s="92">
        <f>'1401'!H24</f>
        <v>7800</v>
      </c>
      <c r="S22" s="92">
        <f>'1401'!I24</f>
        <v>0</v>
      </c>
      <c r="T22" s="81" t="str">
        <f t="shared" si="4"/>
        <v>%</v>
      </c>
      <c r="U22" s="78"/>
      <c r="V22" s="96" t="e">
        <f>L22+#REF!+Q22</f>
        <v>#REF!</v>
      </c>
      <c r="W22" s="92">
        <f>'1421'!H24</f>
        <v>8700</v>
      </c>
      <c r="X22" s="92">
        <f>'1421'!I24</f>
        <v>0</v>
      </c>
      <c r="Y22" s="81" t="str">
        <f t="shared" si="5"/>
        <v>%</v>
      </c>
      <c r="Z22" s="79"/>
      <c r="AA22" s="96" t="e">
        <f>#REF!+Q22+V22</f>
        <v>#REF!</v>
      </c>
      <c r="AB22" s="92">
        <f>'1601'!H24</f>
        <v>7500</v>
      </c>
      <c r="AC22" s="92">
        <f>'1601'!I24</f>
        <v>0</v>
      </c>
      <c r="AD22" s="81" t="str">
        <f t="shared" si="6"/>
        <v>%</v>
      </c>
      <c r="AE22" s="79"/>
      <c r="AF22" s="92">
        <v>0</v>
      </c>
      <c r="AG22" s="92">
        <f>'1621'!H24</f>
        <v>6000</v>
      </c>
      <c r="AH22" s="96">
        <f>'1621'!I24</f>
        <v>0</v>
      </c>
      <c r="AI22" s="81" t="str">
        <f t="shared" si="7"/>
        <v>%</v>
      </c>
      <c r="AJ22" s="79"/>
      <c r="AK22" s="96" t="e">
        <f t="shared" si="8"/>
        <v>#REF!</v>
      </c>
      <c r="AL22" s="96">
        <f>'1721'!H24</f>
        <v>19500</v>
      </c>
      <c r="AM22" s="96">
        <f>'1721'!I24</f>
        <v>200000</v>
      </c>
      <c r="AN22" s="81">
        <f t="shared" si="9"/>
        <v>9.7500000000000003E-2</v>
      </c>
      <c r="AO22" s="79"/>
      <c r="AP22" s="96" t="e">
        <f t="shared" si="10"/>
        <v>#REF!</v>
      </c>
      <c r="AQ22" s="96">
        <f>'9000'!H21</f>
        <v>169235.18</v>
      </c>
      <c r="AR22" s="96">
        <f>'9000'!I21</f>
        <v>0</v>
      </c>
      <c r="AS22" s="81" t="str">
        <f t="shared" si="11"/>
        <v>%</v>
      </c>
      <c r="AT22" s="79"/>
      <c r="AU22" s="96" t="e">
        <f t="shared" si="12"/>
        <v>#REF!</v>
      </c>
      <c r="AV22" s="92">
        <f t="shared" si="1"/>
        <v>237935.18</v>
      </c>
      <c r="AW22" s="92">
        <f t="shared" si="2"/>
        <v>200000</v>
      </c>
      <c r="AX22" s="93">
        <f t="shared" si="13"/>
        <v>1.1896758999999999</v>
      </c>
    </row>
    <row r="23" spans="1:50" ht="16.5" x14ac:dyDescent="0.25">
      <c r="A23" s="49" t="str">
        <f t="shared" si="0"/>
        <v>Revenues</v>
      </c>
      <c r="B23" s="15" t="s">
        <v>27</v>
      </c>
      <c r="C23" s="82" t="s">
        <v>17</v>
      </c>
      <c r="D23" s="89" t="s">
        <v>27</v>
      </c>
      <c r="E23" s="91"/>
      <c r="F23" s="78"/>
      <c r="G23" s="92"/>
      <c r="H23" s="92"/>
      <c r="I23" s="92"/>
      <c r="J23" s="93"/>
      <c r="K23" s="90"/>
      <c r="L23" s="92"/>
      <c r="M23" s="92"/>
      <c r="N23" s="92"/>
      <c r="O23" s="81"/>
      <c r="P23" s="78"/>
      <c r="Q23" s="96"/>
      <c r="R23" s="92"/>
      <c r="S23" s="92"/>
      <c r="T23" s="81"/>
      <c r="U23" s="78"/>
      <c r="V23" s="96"/>
      <c r="W23" s="92"/>
      <c r="X23" s="92"/>
      <c r="Y23" s="81"/>
      <c r="Z23" s="79"/>
      <c r="AA23" s="96"/>
      <c r="AB23" s="92"/>
      <c r="AC23" s="92"/>
      <c r="AD23" s="81"/>
      <c r="AE23" s="79"/>
      <c r="AF23" s="96"/>
      <c r="AG23" s="92"/>
      <c r="AH23" s="96"/>
      <c r="AI23" s="81"/>
      <c r="AJ23" s="79"/>
      <c r="AK23" s="96"/>
      <c r="AL23" s="96"/>
      <c r="AM23" s="96"/>
      <c r="AN23" s="81"/>
      <c r="AO23" s="79"/>
      <c r="AP23" s="96"/>
      <c r="AQ23" s="96"/>
      <c r="AR23" s="96"/>
      <c r="AS23" s="81"/>
      <c r="AT23" s="79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8" t="s">
        <v>17</v>
      </c>
      <c r="D24" s="89" t="s">
        <v>28</v>
      </c>
      <c r="E24" s="91">
        <v>3430</v>
      </c>
      <c r="F24" s="78"/>
      <c r="G24" s="92">
        <v>0</v>
      </c>
      <c r="H24" s="92">
        <f>'1351'!H24</f>
        <v>0</v>
      </c>
      <c r="I24" s="92">
        <f>'1351'!I24</f>
        <v>0</v>
      </c>
      <c r="J24" s="93" t="s">
        <v>96</v>
      </c>
      <c r="K24" s="100"/>
      <c r="L24" s="92">
        <v>0</v>
      </c>
      <c r="M24" s="92">
        <f>'1361'!H26</f>
        <v>0</v>
      </c>
      <c r="N24" s="92">
        <f>'1361'!I26</f>
        <v>0</v>
      </c>
      <c r="O24" s="81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1" t="str">
        <f t="shared" ref="T24:T29" si="15">IF(S24=0,"%",R24/S24)</f>
        <v>%</v>
      </c>
      <c r="U24" s="78"/>
      <c r="V24" s="96" t="e">
        <f>L24+#REF!+Q24</f>
        <v>#REF!</v>
      </c>
      <c r="W24" s="92">
        <f>'1421'!H26</f>
        <v>0</v>
      </c>
      <c r="X24" s="92">
        <f>'1421'!I26</f>
        <v>0</v>
      </c>
      <c r="Y24" s="81" t="str">
        <f t="shared" ref="Y24:Y29" si="16">IF(X24=0,"%",W24/X24)</f>
        <v>%</v>
      </c>
      <c r="Z24" s="79"/>
      <c r="AA24" s="96" t="e">
        <f>#REF!+Q24+V24</f>
        <v>#REF!</v>
      </c>
      <c r="AB24" s="92">
        <f>'1601'!H26</f>
        <v>0</v>
      </c>
      <c r="AC24" s="92">
        <f>'1601'!I26</f>
        <v>0</v>
      </c>
      <c r="AD24" s="81" t="str">
        <f t="shared" ref="AD24:AD29" si="17">IF(AC24=0,"%",AB24/AC24)</f>
        <v>%</v>
      </c>
      <c r="AE24" s="79"/>
      <c r="AF24" s="92">
        <v>0</v>
      </c>
      <c r="AG24" s="92">
        <f>'1621'!H26</f>
        <v>0</v>
      </c>
      <c r="AH24" s="96">
        <f>'1621'!I26</f>
        <v>0</v>
      </c>
      <c r="AI24" s="81" t="str">
        <f t="shared" ref="AI24:AI29" si="18">IF(AH24=0,"%",AG24/AH24)</f>
        <v>%</v>
      </c>
      <c r="AJ24" s="79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1" t="str">
        <f t="shared" ref="AN24:AN29" si="20">IF(AM24=0,"%",AL24/AM24)</f>
        <v>%</v>
      </c>
      <c r="AO24" s="79"/>
      <c r="AP24" s="96" t="e">
        <f t="shared" ref="AP24:AP29" si="21">AA24+AF24+AK24</f>
        <v>#REF!</v>
      </c>
      <c r="AQ24" s="96">
        <f>'9000'!H23</f>
        <v>337.74</v>
      </c>
      <c r="AR24" s="96">
        <f>'9000'!I23</f>
        <v>1000</v>
      </c>
      <c r="AS24" s="81">
        <f t="shared" ref="AS24:AS29" si="22">IF(AR24=0,"%",AQ24/AR24)</f>
        <v>0.33773999999999998</v>
      </c>
      <c r="AT24" s="79"/>
      <c r="AU24" s="96" t="e">
        <f t="shared" ref="AU24:AU29" si="23">AF24+AK24+AP24</f>
        <v>#REF!</v>
      </c>
      <c r="AV24" s="92">
        <f t="shared" si="1"/>
        <v>337.74</v>
      </c>
      <c r="AW24" s="92">
        <f t="shared" si="2"/>
        <v>1000</v>
      </c>
      <c r="AX24" s="93">
        <f t="shared" ref="AX24:AX29" si="24">IF(AW24=0,"%",AV24/AW24)</f>
        <v>0.33773999999999998</v>
      </c>
    </row>
    <row r="25" spans="1:50" ht="16.5" x14ac:dyDescent="0.25">
      <c r="A25" s="49" t="str">
        <f t="shared" si="0"/>
        <v>Revenues</v>
      </c>
      <c r="B25" s="15" t="s">
        <v>27</v>
      </c>
      <c r="C25" s="78"/>
      <c r="D25" s="89" t="s">
        <v>29</v>
      </c>
      <c r="E25" s="91">
        <v>3411</v>
      </c>
      <c r="F25" s="78"/>
      <c r="G25" s="92">
        <v>19648.45</v>
      </c>
      <c r="H25" s="92">
        <f>'1351'!H25</f>
        <v>39921.599999999999</v>
      </c>
      <c r="I25" s="92">
        <f>'1351'!I25</f>
        <v>216133</v>
      </c>
      <c r="J25" s="93">
        <v>9.0909069878269397E-2</v>
      </c>
      <c r="K25" s="100"/>
      <c r="L25" s="92">
        <v>0</v>
      </c>
      <c r="M25" s="92">
        <f>'1361'!H27</f>
        <v>51249.46</v>
      </c>
      <c r="N25" s="92">
        <f>'1361'!I27</f>
        <v>265840</v>
      </c>
      <c r="O25" s="81">
        <f t="shared" si="14"/>
        <v>0.19278310261811615</v>
      </c>
      <c r="P25" s="101"/>
      <c r="Q25" s="96" t="e">
        <f>G25+L25+#REF!</f>
        <v>#REF!</v>
      </c>
      <c r="R25" s="92">
        <f>'1401'!H27</f>
        <v>32725.919999999998</v>
      </c>
      <c r="S25" s="92">
        <f>'1401'!I27</f>
        <v>184855</v>
      </c>
      <c r="T25" s="81">
        <f t="shared" si="15"/>
        <v>0.17703562251494415</v>
      </c>
      <c r="U25" s="78"/>
      <c r="V25" s="96" t="e">
        <f>L25+#REF!+Q25</f>
        <v>#REF!</v>
      </c>
      <c r="W25" s="92">
        <f>'1421'!H27</f>
        <v>35184.42</v>
      </c>
      <c r="X25" s="92">
        <f>'1421'!I27</f>
        <v>190486</v>
      </c>
      <c r="Y25" s="81">
        <f t="shared" si="16"/>
        <v>0.18470869250233612</v>
      </c>
      <c r="Z25" s="79"/>
      <c r="AA25" s="96" t="e">
        <f>#REF!+Q25+V25</f>
        <v>#REF!</v>
      </c>
      <c r="AB25" s="92">
        <f>'1601'!H27</f>
        <v>47032.18</v>
      </c>
      <c r="AC25" s="92">
        <f>'1601'!I27</f>
        <v>256626</v>
      </c>
      <c r="AD25" s="81">
        <f t="shared" si="17"/>
        <v>0.18327129753025803</v>
      </c>
      <c r="AE25" s="79"/>
      <c r="AF25" s="92">
        <v>0</v>
      </c>
      <c r="AG25" s="92">
        <f>'1621'!H27</f>
        <v>48289.88</v>
      </c>
      <c r="AH25" s="96">
        <f>'1621'!I27</f>
        <v>294303</v>
      </c>
      <c r="AI25" s="81">
        <f t="shared" si="18"/>
        <v>0.16408218740549704</v>
      </c>
      <c r="AJ25" s="79"/>
      <c r="AK25" s="96" t="e">
        <f t="shared" si="19"/>
        <v>#REF!</v>
      </c>
      <c r="AL25" s="96">
        <f>'1721'!H27</f>
        <v>118497.76</v>
      </c>
      <c r="AM25" s="96">
        <f>'1721'!I27</f>
        <v>641539</v>
      </c>
      <c r="AN25" s="81">
        <f t="shared" si="20"/>
        <v>0.18470858357792744</v>
      </c>
      <c r="AO25" s="79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1" t="str">
        <f t="shared" si="22"/>
        <v>%</v>
      </c>
      <c r="AT25" s="79"/>
      <c r="AU25" s="96" t="e">
        <f t="shared" si="23"/>
        <v>#REF!</v>
      </c>
      <c r="AV25" s="92">
        <f t="shared" si="1"/>
        <v>372901.22</v>
      </c>
      <c r="AW25" s="92">
        <f t="shared" si="2"/>
        <v>2049782</v>
      </c>
      <c r="AX25" s="93">
        <f t="shared" si="24"/>
        <v>0.18192238003846262</v>
      </c>
    </row>
    <row r="26" spans="1:50" ht="16.5" x14ac:dyDescent="0.25">
      <c r="A26" s="49" t="str">
        <f t="shared" si="0"/>
        <v>Revenues</v>
      </c>
      <c r="B26" s="15" t="s">
        <v>27</v>
      </c>
      <c r="C26" s="78" t="s">
        <v>17</v>
      </c>
      <c r="D26" s="89" t="s">
        <v>30</v>
      </c>
      <c r="E26" s="91">
        <v>3413</v>
      </c>
      <c r="F26" s="78"/>
      <c r="G26" s="92">
        <v>0</v>
      </c>
      <c r="H26" s="92">
        <f>'1351'!H26</f>
        <v>0</v>
      </c>
      <c r="I26" s="92">
        <f>'1351'!I26</f>
        <v>0</v>
      </c>
      <c r="J26" s="93" t="s">
        <v>96</v>
      </c>
      <c r="K26" s="100"/>
      <c r="L26" s="92">
        <v>0</v>
      </c>
      <c r="M26" s="92">
        <f>'1361'!H28</f>
        <v>0</v>
      </c>
      <c r="N26" s="92">
        <f>'1361'!I28</f>
        <v>0</v>
      </c>
      <c r="O26" s="81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1" t="str">
        <f t="shared" si="15"/>
        <v>%</v>
      </c>
      <c r="U26" s="78"/>
      <c r="V26" s="96" t="e">
        <f>L26+#REF!+Q26</f>
        <v>#REF!</v>
      </c>
      <c r="W26" s="92">
        <f>'1421'!H28</f>
        <v>0</v>
      </c>
      <c r="X26" s="92">
        <f>'1421'!I28</f>
        <v>0</v>
      </c>
      <c r="Y26" s="81" t="str">
        <f t="shared" si="16"/>
        <v>%</v>
      </c>
      <c r="Z26" s="79"/>
      <c r="AA26" s="96" t="e">
        <f>#REF!+Q26+V26</f>
        <v>#REF!</v>
      </c>
      <c r="AB26" s="92">
        <f>'1601'!H28</f>
        <v>0</v>
      </c>
      <c r="AC26" s="92">
        <f>'1601'!I28</f>
        <v>0</v>
      </c>
      <c r="AD26" s="81" t="str">
        <f t="shared" si="17"/>
        <v>%</v>
      </c>
      <c r="AE26" s="79"/>
      <c r="AF26" s="92">
        <v>0</v>
      </c>
      <c r="AG26" s="92">
        <f>'1621'!H28</f>
        <v>0</v>
      </c>
      <c r="AH26" s="96">
        <f>'1621'!I28</f>
        <v>0</v>
      </c>
      <c r="AI26" s="81" t="str">
        <f t="shared" si="18"/>
        <v>%</v>
      </c>
      <c r="AJ26" s="79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1" t="str">
        <f t="shared" si="20"/>
        <v>%</v>
      </c>
      <c r="AO26" s="79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1" t="str">
        <f t="shared" si="22"/>
        <v>%</v>
      </c>
      <c r="AT26" s="79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8"/>
      <c r="D27" s="89" t="s">
        <v>31</v>
      </c>
      <c r="E27" s="91">
        <v>3440</v>
      </c>
      <c r="F27" s="78"/>
      <c r="G27" s="92">
        <v>0</v>
      </c>
      <c r="H27" s="92">
        <f>'1351'!H27</f>
        <v>0</v>
      </c>
      <c r="I27" s="92">
        <f>'1351'!I27</f>
        <v>0</v>
      </c>
      <c r="J27" s="93" t="s">
        <v>96</v>
      </c>
      <c r="K27" s="100"/>
      <c r="L27" s="92">
        <v>0</v>
      </c>
      <c r="M27" s="92">
        <f>'1361'!H29</f>
        <v>0</v>
      </c>
      <c r="N27" s="92">
        <f>'1361'!I29</f>
        <v>0</v>
      </c>
      <c r="O27" s="81" t="str">
        <f t="shared" si="14"/>
        <v>%</v>
      </c>
      <c r="P27" s="101"/>
      <c r="Q27" s="96" t="e">
        <f>G27+L27+#REF!</f>
        <v>#REF!</v>
      </c>
      <c r="R27" s="92">
        <f>'1401'!H29</f>
        <v>0</v>
      </c>
      <c r="S27" s="92">
        <f>'1401'!I29</f>
        <v>0</v>
      </c>
      <c r="T27" s="81" t="str">
        <f t="shared" si="15"/>
        <v>%</v>
      </c>
      <c r="U27" s="78"/>
      <c r="V27" s="96" t="e">
        <f>L27+#REF!+Q27</f>
        <v>#REF!</v>
      </c>
      <c r="W27" s="92">
        <f>'1421'!H29</f>
        <v>0</v>
      </c>
      <c r="X27" s="92">
        <f>'1421'!I29</f>
        <v>79593</v>
      </c>
      <c r="Y27" s="81">
        <f t="shared" si="16"/>
        <v>0</v>
      </c>
      <c r="Z27" s="79"/>
      <c r="AA27" s="96" t="e">
        <f>#REF!+Q27+V27</f>
        <v>#REF!</v>
      </c>
      <c r="AB27" s="92">
        <f>'1601'!H29</f>
        <v>0</v>
      </c>
      <c r="AC27" s="92">
        <f>'1601'!I29</f>
        <v>0</v>
      </c>
      <c r="AD27" s="81" t="str">
        <f t="shared" si="17"/>
        <v>%</v>
      </c>
      <c r="AE27" s="79"/>
      <c r="AF27" s="92">
        <v>0</v>
      </c>
      <c r="AG27" s="92">
        <f>'1621'!H29</f>
        <v>0</v>
      </c>
      <c r="AH27" s="96">
        <f>'1621'!I29</f>
        <v>0</v>
      </c>
      <c r="AI27" s="81" t="str">
        <f t="shared" si="18"/>
        <v>%</v>
      </c>
      <c r="AJ27" s="79"/>
      <c r="AK27" s="96" t="e">
        <f t="shared" si="19"/>
        <v>#REF!</v>
      </c>
      <c r="AL27" s="96">
        <f>'1721'!H29</f>
        <v>0</v>
      </c>
      <c r="AM27" s="96">
        <f>'1721'!I29</f>
        <v>0</v>
      </c>
      <c r="AN27" s="81" t="str">
        <f t="shared" si="20"/>
        <v>%</v>
      </c>
      <c r="AO27" s="79"/>
      <c r="AP27" s="96" t="e">
        <f t="shared" si="21"/>
        <v>#REF!</v>
      </c>
      <c r="AQ27" s="96">
        <f>'9000'!H26</f>
        <v>0</v>
      </c>
      <c r="AR27" s="96">
        <f>'9000'!I26</f>
        <v>20302.2</v>
      </c>
      <c r="AS27" s="81">
        <f t="shared" si="22"/>
        <v>0</v>
      </c>
      <c r="AT27" s="79"/>
      <c r="AU27" s="96" t="e">
        <f t="shared" si="23"/>
        <v>#REF!</v>
      </c>
      <c r="AV27" s="92">
        <f t="shared" si="1"/>
        <v>0</v>
      </c>
      <c r="AW27" s="92">
        <f t="shared" si="2"/>
        <v>99895.2</v>
      </c>
      <c r="AX27" s="93">
        <f t="shared" si="24"/>
        <v>0</v>
      </c>
    </row>
    <row r="28" spans="1:50" ht="16.5" x14ac:dyDescent="0.25">
      <c r="A28" s="49" t="str">
        <f t="shared" si="0"/>
        <v>Revenues</v>
      </c>
      <c r="B28" s="15" t="s">
        <v>27</v>
      </c>
      <c r="C28" s="78" t="s">
        <v>17</v>
      </c>
      <c r="D28" s="89" t="s">
        <v>32</v>
      </c>
      <c r="E28" s="91" t="s">
        <v>33</v>
      </c>
      <c r="F28" s="78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0</v>
      </c>
      <c r="N28" s="92">
        <f>'1361'!I30</f>
        <v>193566</v>
      </c>
      <c r="O28" s="81">
        <f t="shared" si="14"/>
        <v>0</v>
      </c>
      <c r="P28" s="101"/>
      <c r="Q28" s="96" t="e">
        <f>G28+L28+#REF!</f>
        <v>#REF!</v>
      </c>
      <c r="R28" s="92">
        <f>'1401'!H30</f>
        <v>0</v>
      </c>
      <c r="S28" s="92">
        <f>'1401'!I30</f>
        <v>0</v>
      </c>
      <c r="T28" s="81" t="str">
        <f t="shared" si="15"/>
        <v>%</v>
      </c>
      <c r="U28" s="78"/>
      <c r="V28" s="96" t="e">
        <f>L28+#REF!+Q28</f>
        <v>#REF!</v>
      </c>
      <c r="W28" s="92">
        <f>'1421'!H30</f>
        <v>656.72</v>
      </c>
      <c r="X28" s="92">
        <f>'1421'!I30</f>
        <v>83257</v>
      </c>
      <c r="Y28" s="81">
        <f t="shared" si="16"/>
        <v>7.8878652846006946E-3</v>
      </c>
      <c r="Z28" s="79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1">
        <f t="shared" si="17"/>
        <v>0</v>
      </c>
      <c r="AE28" s="79"/>
      <c r="AF28" s="92">
        <v>0</v>
      </c>
      <c r="AG28" s="92">
        <f>'1621'!H30</f>
        <v>101</v>
      </c>
      <c r="AH28" s="96">
        <f>'1621'!I30</f>
        <v>0</v>
      </c>
      <c r="AI28" s="81" t="str">
        <f t="shared" si="18"/>
        <v>%</v>
      </c>
      <c r="AJ28" s="79"/>
      <c r="AK28" s="96" t="e">
        <f t="shared" si="19"/>
        <v>#REF!</v>
      </c>
      <c r="AL28" s="96">
        <f>'1721'!H30</f>
        <v>0</v>
      </c>
      <c r="AM28" s="96">
        <f>'1721'!I30</f>
        <v>562752</v>
      </c>
      <c r="AN28" s="81">
        <f t="shared" si="20"/>
        <v>0</v>
      </c>
      <c r="AO28" s="79"/>
      <c r="AP28" s="96" t="e">
        <f t="shared" si="21"/>
        <v>#REF!</v>
      </c>
      <c r="AQ28" s="96">
        <f>'9000'!H27</f>
        <v>10837.65</v>
      </c>
      <c r="AR28" s="96">
        <f>'9000'!I27</f>
        <v>218251</v>
      </c>
      <c r="AS28" s="81">
        <f t="shared" si="22"/>
        <v>4.9656817150895066E-2</v>
      </c>
      <c r="AT28" s="79"/>
      <c r="AU28" s="96" t="e">
        <f t="shared" si="23"/>
        <v>#REF!</v>
      </c>
      <c r="AV28" s="92">
        <f t="shared" si="1"/>
        <v>11595.369999999999</v>
      </c>
      <c r="AW28" s="92">
        <f t="shared" si="2"/>
        <v>1392076</v>
      </c>
      <c r="AX28" s="93">
        <f t="shared" si="24"/>
        <v>8.3295524094948829E-3</v>
      </c>
    </row>
    <row r="29" spans="1:50" ht="16.5" x14ac:dyDescent="0.25">
      <c r="A29" s="49" t="str">
        <f t="shared" si="0"/>
        <v>Revenues</v>
      </c>
      <c r="B29" s="15" t="s">
        <v>27</v>
      </c>
      <c r="C29" s="78" t="s">
        <v>17</v>
      </c>
      <c r="D29" s="89" t="s">
        <v>34</v>
      </c>
      <c r="E29" s="91">
        <v>3900</v>
      </c>
      <c r="F29" s="78"/>
      <c r="G29" s="92">
        <v>0</v>
      </c>
      <c r="H29" s="92">
        <f>'1351'!H29</f>
        <v>0</v>
      </c>
      <c r="I29" s="92">
        <f>'1351'!I29</f>
        <v>0</v>
      </c>
      <c r="J29" s="81" t="s">
        <v>96</v>
      </c>
      <c r="K29" s="101"/>
      <c r="L29" s="96">
        <v>0</v>
      </c>
      <c r="M29" s="92">
        <f>'1361'!H31</f>
        <v>0</v>
      </c>
      <c r="N29" s="92">
        <f>'1361'!I31</f>
        <v>0</v>
      </c>
      <c r="O29" s="81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1" t="str">
        <f t="shared" si="15"/>
        <v>%</v>
      </c>
      <c r="U29" s="78"/>
      <c r="V29" s="96" t="e">
        <f>L29+#REF!+Q29</f>
        <v>#REF!</v>
      </c>
      <c r="W29" s="92">
        <f>'1421'!H31</f>
        <v>0</v>
      </c>
      <c r="X29" s="92">
        <f>'1421'!I31</f>
        <v>0</v>
      </c>
      <c r="Y29" s="81" t="str">
        <f t="shared" si="16"/>
        <v>%</v>
      </c>
      <c r="Z29" s="79"/>
      <c r="AA29" s="96" t="e">
        <f>#REF!+Q29+V29</f>
        <v>#REF!</v>
      </c>
      <c r="AB29" s="92">
        <f>'1601'!H31</f>
        <v>0</v>
      </c>
      <c r="AC29" s="92">
        <f>'1601'!I31</f>
        <v>0</v>
      </c>
      <c r="AD29" s="81" t="str">
        <f t="shared" si="17"/>
        <v>%</v>
      </c>
      <c r="AE29" s="79"/>
      <c r="AF29" s="92">
        <v>0</v>
      </c>
      <c r="AG29" s="92">
        <f>'1621'!H31</f>
        <v>0</v>
      </c>
      <c r="AH29" s="96">
        <f>'1621'!I31</f>
        <v>0</v>
      </c>
      <c r="AI29" s="81" t="str">
        <f t="shared" si="18"/>
        <v>%</v>
      </c>
      <c r="AJ29" s="79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1" t="str">
        <f t="shared" si="20"/>
        <v>%</v>
      </c>
      <c r="AO29" s="79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1" t="str">
        <f t="shared" si="22"/>
        <v>%</v>
      </c>
      <c r="AT29" s="79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2" t="s">
        <v>35</v>
      </c>
      <c r="D30" s="78"/>
      <c r="E30" s="78"/>
      <c r="F30" s="78"/>
      <c r="G30" s="102">
        <f>SUM(G14:G29)</f>
        <v>420255.9</v>
      </c>
      <c r="H30" s="102">
        <f>SUM(H14:H29)</f>
        <v>831401.53</v>
      </c>
      <c r="I30" s="102">
        <f>SUM(I14:I29)</f>
        <v>4753819</v>
      </c>
      <c r="J30" s="103">
        <v>8.8403849620694447E-2</v>
      </c>
      <c r="K30" s="101"/>
      <c r="L30" s="102">
        <f>SUM(L14:L29)</f>
        <v>0</v>
      </c>
      <c r="M30" s="102">
        <f>SUM(M14:M29)</f>
        <v>1053906.51</v>
      </c>
      <c r="N30" s="102">
        <f>SUM(N14:N29)</f>
        <v>5709191</v>
      </c>
      <c r="O30" s="103">
        <f>IF(N30=0,"",M30/N30)</f>
        <v>0.18459822241014534</v>
      </c>
      <c r="P30" s="101"/>
      <c r="Q30" s="102" t="e">
        <f>SUM(Q14:Q29)</f>
        <v>#REF!</v>
      </c>
      <c r="R30" s="102">
        <f>SUM(R14:R29)</f>
        <v>680912.78</v>
      </c>
      <c r="S30" s="102">
        <f>SUM(S14:S29)</f>
        <v>3987417</v>
      </c>
      <c r="T30" s="103">
        <f>IF(S30=0,"",R30/S30)</f>
        <v>0.17076538019474763</v>
      </c>
      <c r="U30" s="78"/>
      <c r="V30" s="102" t="e">
        <f>SUM(V14:V29)</f>
        <v>#REF!</v>
      </c>
      <c r="W30" s="102">
        <f>SUM(W14:W29)</f>
        <v>725180.61</v>
      </c>
      <c r="X30" s="102">
        <f>SUM(X14:X29)</f>
        <v>4108771</v>
      </c>
      <c r="Y30" s="103">
        <f>IF(X30=0,"",W30/X30)</f>
        <v>0.176495747755229</v>
      </c>
      <c r="Z30" s="79"/>
      <c r="AA30" s="102" t="e">
        <f>SUM(AA14:AA29)</f>
        <v>#REF!</v>
      </c>
      <c r="AB30" s="102">
        <f>SUM(AB14:AB29)</f>
        <v>937417.3600000001</v>
      </c>
      <c r="AC30" s="102">
        <f>SUM(AC14:AC29)</f>
        <v>5271408</v>
      </c>
      <c r="AD30" s="103">
        <f>IF(AC30=0,"",AB30/AC30)</f>
        <v>0.17783054546337526</v>
      </c>
      <c r="AE30" s="79"/>
      <c r="AF30" s="102">
        <f>SUM(AF14:AF29)</f>
        <v>0</v>
      </c>
      <c r="AG30" s="102">
        <f>SUM(AG14:AG29)</f>
        <v>958727.26</v>
      </c>
      <c r="AH30" s="102">
        <f>SUM(AH14:AH29)</f>
        <v>5925668</v>
      </c>
      <c r="AI30" s="103">
        <f>IF(AH30=0,"",AG30/AH30)</f>
        <v>0.16179226713342698</v>
      </c>
      <c r="AJ30" s="79"/>
      <c r="AK30" s="102" t="e">
        <f>SUM(AK14:AK29)</f>
        <v>#REF!</v>
      </c>
      <c r="AL30" s="102">
        <f>SUM(AL14:AL29)</f>
        <v>2309063.12</v>
      </c>
      <c r="AM30" s="102">
        <f>SUM(AM14:AM29)</f>
        <v>13325880</v>
      </c>
      <c r="AN30" s="103">
        <f>IF(AM30=0,"",AL30/AM30)</f>
        <v>0.17327659561694989</v>
      </c>
      <c r="AO30" s="79"/>
      <c r="AP30" s="102" t="e">
        <f>SUM(AP14:AP29)</f>
        <v>#REF!</v>
      </c>
      <c r="AQ30" s="102">
        <f>SUM(AQ14:AQ29)</f>
        <v>506023.98</v>
      </c>
      <c r="AR30" s="102">
        <f>SUM(AR14:AR29)</f>
        <v>3167626.96</v>
      </c>
      <c r="AS30" s="103">
        <f>IF(AR30=0,"",AQ30/AR30)</f>
        <v>0.15974860246801284</v>
      </c>
      <c r="AT30" s="79"/>
      <c r="AU30" s="102" t="e">
        <f>SUM(AU14:AU29)</f>
        <v>#REF!</v>
      </c>
      <c r="AV30" s="118">
        <f>SUM(AV14:AV29)</f>
        <v>8002633.1500000004</v>
      </c>
      <c r="AW30" s="118">
        <f>SUM(AW14:AW29)</f>
        <v>46249780.960000001</v>
      </c>
      <c r="AX30" s="119">
        <f>IF(AW30=0,"",AV30/AW30)</f>
        <v>0.17303072541946155</v>
      </c>
    </row>
    <row r="31" spans="1:50" ht="16.5" x14ac:dyDescent="0.25">
      <c r="A31" s="45"/>
      <c r="B31" s="46"/>
      <c r="C31" s="78"/>
      <c r="D31" s="78"/>
      <c r="E31" s="78"/>
      <c r="F31" s="78"/>
      <c r="G31" s="101"/>
      <c r="H31" s="101"/>
      <c r="I31" s="101"/>
      <c r="J31" s="81"/>
      <c r="K31" s="101"/>
      <c r="L31" s="101"/>
      <c r="M31" s="101"/>
      <c r="N31" s="101"/>
      <c r="O31" s="81"/>
      <c r="P31" s="101"/>
      <c r="Q31" s="101"/>
      <c r="R31" s="101"/>
      <c r="S31" s="101"/>
      <c r="T31" s="81"/>
      <c r="U31" s="78"/>
      <c r="V31" s="101"/>
      <c r="W31" s="101"/>
      <c r="X31" s="101"/>
      <c r="Y31" s="81"/>
      <c r="Z31" s="79"/>
      <c r="AA31" s="101"/>
      <c r="AB31" s="101"/>
      <c r="AC31" s="101"/>
      <c r="AD31" s="81"/>
      <c r="AE31" s="79"/>
      <c r="AF31" s="101"/>
      <c r="AG31" s="101"/>
      <c r="AH31" s="101"/>
      <c r="AI31" s="81"/>
      <c r="AJ31" s="79"/>
      <c r="AK31" s="101"/>
      <c r="AL31" s="101"/>
      <c r="AM31" s="101"/>
      <c r="AN31" s="81"/>
      <c r="AO31" s="79"/>
      <c r="AP31" s="101"/>
      <c r="AQ31" s="101"/>
      <c r="AR31" s="101"/>
      <c r="AS31" s="81"/>
      <c r="AT31" s="79"/>
      <c r="AU31" s="101"/>
      <c r="AV31" s="100"/>
      <c r="AW31" s="100"/>
      <c r="AX31" s="93"/>
    </row>
    <row r="32" spans="1:50" ht="16.5" x14ac:dyDescent="0.25">
      <c r="A32" s="45"/>
      <c r="B32" s="46"/>
      <c r="C32" s="82" t="s">
        <v>36</v>
      </c>
      <c r="D32" s="78"/>
      <c r="E32" s="78"/>
      <c r="F32" s="78"/>
      <c r="G32" s="101"/>
      <c r="H32" s="101"/>
      <c r="I32" s="101"/>
      <c r="J32" s="81"/>
      <c r="K32" s="101"/>
      <c r="L32" s="101"/>
      <c r="M32" s="101"/>
      <c r="N32" s="101"/>
      <c r="O32" s="81"/>
      <c r="P32" s="101"/>
      <c r="Q32" s="101"/>
      <c r="R32" s="101"/>
      <c r="S32" s="101"/>
      <c r="T32" s="81"/>
      <c r="U32" s="78"/>
      <c r="V32" s="101"/>
      <c r="W32" s="101"/>
      <c r="X32" s="101"/>
      <c r="Y32" s="81"/>
      <c r="Z32" s="79"/>
      <c r="AA32" s="101"/>
      <c r="AB32" s="101"/>
      <c r="AC32" s="101"/>
      <c r="AD32" s="81"/>
      <c r="AE32" s="79"/>
      <c r="AF32" s="101"/>
      <c r="AG32" s="101"/>
      <c r="AH32" s="101"/>
      <c r="AI32" s="81"/>
      <c r="AJ32" s="79"/>
      <c r="AK32" s="101"/>
      <c r="AL32" s="101"/>
      <c r="AM32" s="101"/>
      <c r="AN32" s="81"/>
      <c r="AO32" s="79"/>
      <c r="AP32" s="101"/>
      <c r="AQ32" s="101"/>
      <c r="AR32" s="101"/>
      <c r="AS32" s="81"/>
      <c r="AT32" s="79"/>
      <c r="AU32" s="101"/>
      <c r="AV32" s="100"/>
      <c r="AW32" s="100"/>
      <c r="AX32" s="93"/>
    </row>
    <row r="33" spans="1:53" ht="16.5" x14ac:dyDescent="0.25">
      <c r="A33" s="49" t="s">
        <v>36</v>
      </c>
      <c r="B33" s="46" t="s">
        <v>37</v>
      </c>
      <c r="C33" s="78" t="s">
        <v>17</v>
      </c>
      <c r="D33" s="78" t="s">
        <v>37</v>
      </c>
      <c r="E33" s="78"/>
      <c r="F33" s="78"/>
      <c r="G33" s="101"/>
      <c r="H33" s="101"/>
      <c r="I33" s="101"/>
      <c r="J33" s="81"/>
      <c r="K33" s="101"/>
      <c r="L33" s="101"/>
      <c r="M33" s="101"/>
      <c r="N33" s="101"/>
      <c r="O33" s="81"/>
      <c r="P33" s="101"/>
      <c r="Q33" s="101"/>
      <c r="R33" s="101"/>
      <c r="S33" s="101"/>
      <c r="T33" s="81"/>
      <c r="U33" s="78"/>
      <c r="V33" s="101"/>
      <c r="W33" s="101"/>
      <c r="X33" s="101"/>
      <c r="Y33" s="81"/>
      <c r="Z33" s="79"/>
      <c r="AA33" s="101"/>
      <c r="AB33" s="101"/>
      <c r="AC33" s="101"/>
      <c r="AD33" s="81"/>
      <c r="AE33" s="79"/>
      <c r="AF33" s="101"/>
      <c r="AG33" s="101"/>
      <c r="AH33" s="101"/>
      <c r="AI33" s="81"/>
      <c r="AJ33" s="79"/>
      <c r="AK33" s="101"/>
      <c r="AL33" s="101"/>
      <c r="AM33" s="101"/>
      <c r="AN33" s="81"/>
      <c r="AO33" s="79"/>
      <c r="AP33" s="101"/>
      <c r="AQ33" s="101"/>
      <c r="AR33" s="101"/>
      <c r="AS33" s="81"/>
      <c r="AT33" s="79"/>
      <c r="AU33" s="101"/>
      <c r="AV33" s="100"/>
      <c r="AW33" s="100"/>
      <c r="AX33" s="93"/>
    </row>
    <row r="34" spans="1:53" ht="16.5" x14ac:dyDescent="0.25">
      <c r="A34" s="49" t="s">
        <v>36</v>
      </c>
      <c r="B34" s="46" t="s">
        <v>37</v>
      </c>
      <c r="C34" s="78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262679.65000000008</v>
      </c>
      <c r="I34" s="92">
        <f>'1351'!I34</f>
        <v>3332046.25</v>
      </c>
      <c r="J34" s="81">
        <v>5.4045228213744027E-3</v>
      </c>
      <c r="K34" s="101"/>
      <c r="L34" s="92">
        <v>6193.79</v>
      </c>
      <c r="M34" s="92">
        <f>'1361'!H36</f>
        <v>442090.76999999996</v>
      </c>
      <c r="N34" s="92">
        <f>'1361'!I36</f>
        <v>4026759.4999999995</v>
      </c>
      <c r="O34" s="81">
        <f t="shared" ref="O34:O48" si="25">IF(N34=0,"%",M34/N34)</f>
        <v>0.10978822301158041</v>
      </c>
      <c r="P34" s="101"/>
      <c r="Q34" s="96" t="e">
        <f>G34+L34+#REF!</f>
        <v>#REF!</v>
      </c>
      <c r="R34" s="92">
        <f>'1401'!H36</f>
        <v>216412.38999999998</v>
      </c>
      <c r="S34" s="92">
        <f>'1401'!I36</f>
        <v>2686218.06</v>
      </c>
      <c r="T34" s="81">
        <f t="shared" ref="T34:T49" si="26">IF(S34=0,"%",R34/S34)</f>
        <v>8.0563969553536535E-2</v>
      </c>
      <c r="U34" s="78"/>
      <c r="V34" s="96" t="e">
        <f>L34+#REF!+Q34</f>
        <v>#REF!</v>
      </c>
      <c r="W34" s="92">
        <f>'1421'!H36</f>
        <v>234050.93000000002</v>
      </c>
      <c r="X34" s="92">
        <f>'1421'!I36</f>
        <v>2985676.4399999995</v>
      </c>
      <c r="Y34" s="81">
        <f t="shared" ref="Y34:Y49" si="27">IF(X34=0,"%",W34/X34)</f>
        <v>7.8391257292434569E-2</v>
      </c>
      <c r="Z34" s="79"/>
      <c r="AA34" s="96" t="e">
        <f>#REF!+Q34+V34</f>
        <v>#REF!</v>
      </c>
      <c r="AB34" s="92">
        <f>'1601'!H36</f>
        <v>233686.47999999998</v>
      </c>
      <c r="AC34" s="92">
        <f>'1601'!I36</f>
        <v>3113780.1</v>
      </c>
      <c r="AD34" s="81">
        <f t="shared" ref="AD34:AD49" si="28">IF(AC34=0,"%",AB34/AC34)</f>
        <v>7.5049127586113096E-2</v>
      </c>
      <c r="AE34" s="79"/>
      <c r="AF34" s="92">
        <v>0</v>
      </c>
      <c r="AG34" s="92">
        <f>'1621'!H37</f>
        <v>312254.09999999998</v>
      </c>
      <c r="AH34" s="96">
        <f>'1621'!I37</f>
        <v>3574658.18</v>
      </c>
      <c r="AI34" s="81">
        <f t="shared" ref="AI34:AI49" si="29">IF(AH34=0,"%",AG34/AH34)</f>
        <v>8.7352156283653379E-2</v>
      </c>
      <c r="AJ34" s="79"/>
      <c r="AK34" s="96" t="e">
        <f t="shared" ref="AK34:AK49" si="30">V34+AA34+AF34</f>
        <v>#REF!</v>
      </c>
      <c r="AL34" s="96">
        <f>'1721'!H36</f>
        <v>720673.60000000021</v>
      </c>
      <c r="AM34" s="96">
        <f>'1721'!I36</f>
        <v>7647138.370000001</v>
      </c>
      <c r="AN34" s="81">
        <f t="shared" ref="AN34:AN49" si="31">IF(AM34=0,"%",AL34/AM34)</f>
        <v>9.4240951991561794E-2</v>
      </c>
      <c r="AO34" s="79"/>
      <c r="AP34" s="96" t="e">
        <f t="shared" ref="AP34:AP49" si="32">AA34+AF34+AK34</f>
        <v>#REF!</v>
      </c>
      <c r="AQ34" s="96">
        <f>'9000'!H33</f>
        <v>0</v>
      </c>
      <c r="AR34" s="96">
        <f>'9000'!I33</f>
        <v>108352</v>
      </c>
      <c r="AS34" s="81">
        <f t="shared" ref="AS34:AS48" si="33">IF(AR34=0,"%",AQ34/AR34)</f>
        <v>0</v>
      </c>
      <c r="AT34" s="79"/>
      <c r="AU34" s="96" t="e">
        <f t="shared" ref="AU34:AU49" si="34">AF34+AK34+AP34</f>
        <v>#REF!</v>
      </c>
      <c r="AV34" s="92">
        <f>H34+M34+R34+W34+AB34+AG34+AL34+AQ34</f>
        <v>2421847.92</v>
      </c>
      <c r="AW34" s="92">
        <f>I34+N34+S34+X34+AC34+AH34+AM34+AR34</f>
        <v>27474628.900000002</v>
      </c>
      <c r="AX34" s="93">
        <f t="shared" ref="AX34:AX48" si="35">IF(AW34=0,"%",AV34/AW34)</f>
        <v>8.8148521634809046E-2</v>
      </c>
    </row>
    <row r="35" spans="1:53" ht="16.5" x14ac:dyDescent="0.25">
      <c r="A35" s="49" t="s">
        <v>36</v>
      </c>
      <c r="B35" s="46" t="s">
        <v>37</v>
      </c>
      <c r="C35" s="78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11960.429999999998</v>
      </c>
      <c r="I35" s="92">
        <f>'1351'!I35</f>
        <v>159751.13</v>
      </c>
      <c r="J35" s="81">
        <v>8.8888260133120804E-4</v>
      </c>
      <c r="K35" s="101"/>
      <c r="L35" s="92">
        <v>73225</v>
      </c>
      <c r="M35" s="92">
        <f>'1361'!H37</f>
        <v>24841.669999999995</v>
      </c>
      <c r="N35" s="92">
        <f>'1361'!I37</f>
        <v>312795.89</v>
      </c>
      <c r="O35" s="81">
        <f t="shared" si="25"/>
        <v>7.941814708626764E-2</v>
      </c>
      <c r="P35" s="101"/>
      <c r="Q35" s="96" t="e">
        <f>G35+L35+#REF!</f>
        <v>#REF!</v>
      </c>
      <c r="R35" s="92">
        <f>'1401'!H37</f>
        <v>20805.870000000003</v>
      </c>
      <c r="S35" s="92">
        <f>'1401'!I37</f>
        <v>171389.89999999997</v>
      </c>
      <c r="T35" s="81">
        <f t="shared" si="26"/>
        <v>0.12139495967965444</v>
      </c>
      <c r="U35" s="78"/>
      <c r="V35" s="96" t="e">
        <f>L35+#REF!+Q35</f>
        <v>#REF!</v>
      </c>
      <c r="W35" s="92">
        <f>'1421'!H37</f>
        <v>17963.04</v>
      </c>
      <c r="X35" s="92">
        <f>'1421'!I37</f>
        <v>148025.24</v>
      </c>
      <c r="Y35" s="81">
        <f t="shared" si="27"/>
        <v>0.12135119659322965</v>
      </c>
      <c r="Z35" s="79"/>
      <c r="AA35" s="96" t="e">
        <f>#REF!+Q35+V35</f>
        <v>#REF!</v>
      </c>
      <c r="AB35" s="92">
        <f>'1601'!H37</f>
        <v>12259.339999999998</v>
      </c>
      <c r="AC35" s="92">
        <f>'1601'!I37</f>
        <v>128394.91</v>
      </c>
      <c r="AD35" s="81">
        <f t="shared" si="28"/>
        <v>9.5481510910362402E-2</v>
      </c>
      <c r="AE35" s="79"/>
      <c r="AF35" s="92">
        <v>0</v>
      </c>
      <c r="AG35" s="92">
        <f>'1621'!H38</f>
        <v>4418.6099999999997</v>
      </c>
      <c r="AH35" s="96">
        <f>'1621'!I38</f>
        <v>54313.98</v>
      </c>
      <c r="AI35" s="81">
        <f t="shared" si="29"/>
        <v>8.1353088099969828E-2</v>
      </c>
      <c r="AJ35" s="79"/>
      <c r="AK35" s="96" t="e">
        <f t="shared" si="30"/>
        <v>#REF!</v>
      </c>
      <c r="AL35" s="96">
        <f>'1721'!H37</f>
        <v>59056.200000000004</v>
      </c>
      <c r="AM35" s="96">
        <f>'1721'!I37</f>
        <v>690748.1399999999</v>
      </c>
      <c r="AN35" s="81">
        <f t="shared" si="31"/>
        <v>8.5495995689543247E-2</v>
      </c>
      <c r="AO35" s="79"/>
      <c r="AP35" s="96" t="e">
        <f t="shared" si="32"/>
        <v>#REF!</v>
      </c>
      <c r="AQ35" s="96">
        <f>'9000'!H34</f>
        <v>101468.40000000001</v>
      </c>
      <c r="AR35" s="96">
        <f>'9000'!I34</f>
        <v>766816.88</v>
      </c>
      <c r="AS35" s="81">
        <f t="shared" si="33"/>
        <v>0.13232416062619801</v>
      </c>
      <c r="AT35" s="79"/>
      <c r="AU35" s="96" t="e">
        <f t="shared" si="34"/>
        <v>#REF!</v>
      </c>
      <c r="AV35" s="92">
        <f t="shared" ref="AV35:AV49" si="36">H35+M35+R35+W35+AB35+AG35+AL35+AQ35</f>
        <v>252773.56</v>
      </c>
      <c r="AW35" s="92">
        <f t="shared" ref="AW35:AW49" si="37">I35+N35+S35+X35+AC35+AH35+AM35+AR35</f>
        <v>2432236.0699999998</v>
      </c>
      <c r="AX35" s="93">
        <f t="shared" si="35"/>
        <v>0.10392640875521594</v>
      </c>
    </row>
    <row r="36" spans="1:53" ht="16.5" x14ac:dyDescent="0.25">
      <c r="A36" s="49" t="s">
        <v>36</v>
      </c>
      <c r="B36" s="46" t="s">
        <v>37</v>
      </c>
      <c r="C36" s="78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0</v>
      </c>
      <c r="I36" s="92">
        <f>'1351'!I36</f>
        <v>13750</v>
      </c>
      <c r="J36" s="81">
        <v>0</v>
      </c>
      <c r="K36" s="101"/>
      <c r="L36" s="96">
        <v>0</v>
      </c>
      <c r="M36" s="92">
        <f>'1361'!H38</f>
        <v>0</v>
      </c>
      <c r="N36" s="92">
        <f>'1361'!I38</f>
        <v>13750</v>
      </c>
      <c r="O36" s="81">
        <f t="shared" si="25"/>
        <v>0</v>
      </c>
      <c r="P36" s="101"/>
      <c r="Q36" s="96" t="e">
        <f>G36+L36+#REF!</f>
        <v>#REF!</v>
      </c>
      <c r="R36" s="92">
        <f>'1401'!H38</f>
        <v>0</v>
      </c>
      <c r="S36" s="92">
        <f>'1401'!I38</f>
        <v>13750</v>
      </c>
      <c r="T36" s="81">
        <f t="shared" si="26"/>
        <v>0</v>
      </c>
      <c r="U36" s="78"/>
      <c r="V36" s="96" t="e">
        <f>L36+#REF!+Q36</f>
        <v>#REF!</v>
      </c>
      <c r="W36" s="92">
        <f>'1421'!H38</f>
        <v>0</v>
      </c>
      <c r="X36" s="92">
        <f>'1421'!I38</f>
        <v>13750</v>
      </c>
      <c r="Y36" s="81">
        <f t="shared" si="27"/>
        <v>0</v>
      </c>
      <c r="Z36" s="79"/>
      <c r="AA36" s="96" t="e">
        <f>#REF!+Q36+V36</f>
        <v>#REF!</v>
      </c>
      <c r="AB36" s="92">
        <f>'1601'!H38</f>
        <v>0</v>
      </c>
      <c r="AC36" s="92">
        <f>'1601'!I38</f>
        <v>13250</v>
      </c>
      <c r="AD36" s="81">
        <f t="shared" si="28"/>
        <v>0</v>
      </c>
      <c r="AE36" s="79"/>
      <c r="AF36" s="92">
        <v>0</v>
      </c>
      <c r="AG36" s="92">
        <f>'1621'!H39</f>
        <v>0</v>
      </c>
      <c r="AH36" s="96">
        <f>'1621'!I39</f>
        <v>13250</v>
      </c>
      <c r="AI36" s="81">
        <f t="shared" si="29"/>
        <v>0</v>
      </c>
      <c r="AJ36" s="79"/>
      <c r="AK36" s="96" t="e">
        <f t="shared" si="30"/>
        <v>#REF!</v>
      </c>
      <c r="AL36" s="96">
        <f>'1721'!H38</f>
        <v>0</v>
      </c>
      <c r="AM36" s="96">
        <f>'1721'!I38</f>
        <v>18500</v>
      </c>
      <c r="AN36" s="81">
        <f t="shared" si="31"/>
        <v>0</v>
      </c>
      <c r="AO36" s="79"/>
      <c r="AP36" s="96" t="e">
        <f t="shared" si="32"/>
        <v>#REF!</v>
      </c>
      <c r="AQ36" s="96">
        <f>'9000'!H35</f>
        <v>64767.25</v>
      </c>
      <c r="AR36" s="96">
        <f>'9000'!I35</f>
        <v>176000</v>
      </c>
      <c r="AS36" s="81">
        <f t="shared" si="33"/>
        <v>0.36799573863636365</v>
      </c>
      <c r="AT36" s="79"/>
      <c r="AU36" s="96" t="e">
        <f t="shared" si="34"/>
        <v>#REF!</v>
      </c>
      <c r="AV36" s="92">
        <f t="shared" si="36"/>
        <v>64767.25</v>
      </c>
      <c r="AW36" s="92">
        <f t="shared" si="37"/>
        <v>276000</v>
      </c>
      <c r="AX36" s="93">
        <f t="shared" si="35"/>
        <v>0.23466394927536233</v>
      </c>
    </row>
    <row r="37" spans="1:53" ht="16.5" x14ac:dyDescent="0.25">
      <c r="A37" s="49" t="s">
        <v>36</v>
      </c>
      <c r="B37" s="46" t="s">
        <v>37</v>
      </c>
      <c r="C37" s="78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1" t="s">
        <v>96</v>
      </c>
      <c r="K37" s="101"/>
      <c r="L37" s="96">
        <v>0</v>
      </c>
      <c r="M37" s="92">
        <f>'1361'!H39</f>
        <v>0</v>
      </c>
      <c r="N37" s="92">
        <f>'1361'!I39</f>
        <v>0</v>
      </c>
      <c r="O37" s="81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1" t="str">
        <f t="shared" si="26"/>
        <v>%</v>
      </c>
      <c r="U37" s="78"/>
      <c r="V37" s="96" t="e">
        <f>L37+#REF!+Q37</f>
        <v>#REF!</v>
      </c>
      <c r="W37" s="92">
        <f>'1421'!H39</f>
        <v>0</v>
      </c>
      <c r="X37" s="92">
        <f>'1421'!I39</f>
        <v>0</v>
      </c>
      <c r="Y37" s="81" t="str">
        <f t="shared" si="27"/>
        <v>%</v>
      </c>
      <c r="Z37" s="79"/>
      <c r="AA37" s="96" t="e">
        <f>#REF!+Q37+V37</f>
        <v>#REF!</v>
      </c>
      <c r="AB37" s="92">
        <f>'1601'!H39</f>
        <v>0</v>
      </c>
      <c r="AC37" s="92">
        <f>'1601'!I39</f>
        <v>0</v>
      </c>
      <c r="AD37" s="81" t="str">
        <f t="shared" si="28"/>
        <v>%</v>
      </c>
      <c r="AE37" s="79"/>
      <c r="AF37" s="92">
        <v>0</v>
      </c>
      <c r="AG37" s="92">
        <f>'1621'!H40</f>
        <v>0</v>
      </c>
      <c r="AH37" s="96">
        <f>'1621'!I40</f>
        <v>0</v>
      </c>
      <c r="AI37" s="81" t="str">
        <f t="shared" si="29"/>
        <v>%</v>
      </c>
      <c r="AJ37" s="79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1" t="str">
        <f t="shared" si="31"/>
        <v>%</v>
      </c>
      <c r="AO37" s="79"/>
      <c r="AP37" s="96" t="e">
        <f t="shared" si="32"/>
        <v>#REF!</v>
      </c>
      <c r="AQ37" s="96">
        <f>'9000'!H36</f>
        <v>83929.59</v>
      </c>
      <c r="AR37" s="96">
        <f>'9000'!I36</f>
        <v>422707.11000000004</v>
      </c>
      <c r="AS37" s="81">
        <f t="shared" si="33"/>
        <v>0.19855258644691354</v>
      </c>
      <c r="AT37" s="79"/>
      <c r="AU37" s="96" t="e">
        <f t="shared" si="34"/>
        <v>#REF!</v>
      </c>
      <c r="AV37" s="92">
        <f t="shared" si="36"/>
        <v>83929.59</v>
      </c>
      <c r="AW37" s="92">
        <f t="shared" si="37"/>
        <v>422707.11000000004</v>
      </c>
      <c r="AX37" s="93">
        <f t="shared" si="35"/>
        <v>0.19855258644691354</v>
      </c>
    </row>
    <row r="38" spans="1:53" ht="16.5" x14ac:dyDescent="0.25">
      <c r="A38" s="49" t="s">
        <v>36</v>
      </c>
      <c r="B38" s="46" t="s">
        <v>37</v>
      </c>
      <c r="C38" s="78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73717.98</v>
      </c>
      <c r="I38" s="92">
        <f>'1351'!I38</f>
        <v>420309.52999999991</v>
      </c>
      <c r="J38" s="81">
        <v>8.6510148841973694E-2</v>
      </c>
      <c r="K38" s="101"/>
      <c r="L38" s="96">
        <v>0</v>
      </c>
      <c r="M38" s="92">
        <f>'1361'!H40</f>
        <v>76629.349999999991</v>
      </c>
      <c r="N38" s="92">
        <f>'1361'!I40</f>
        <v>447743.15</v>
      </c>
      <c r="O38" s="81">
        <f t="shared" si="25"/>
        <v>0.1711457785562995</v>
      </c>
      <c r="P38" s="101"/>
      <c r="Q38" s="96" t="e">
        <f>G38+L38+#REF!</f>
        <v>#REF!</v>
      </c>
      <c r="R38" s="92">
        <f>'1401'!H40</f>
        <v>67461.31</v>
      </c>
      <c r="S38" s="92">
        <f>'1401'!I40</f>
        <v>438855.79</v>
      </c>
      <c r="T38" s="81">
        <f t="shared" si="26"/>
        <v>0.15372090681542563</v>
      </c>
      <c r="U38" s="78"/>
      <c r="V38" s="96" t="e">
        <f>L38+#REF!+Q38</f>
        <v>#REF!</v>
      </c>
      <c r="W38" s="92">
        <f>'1421'!H40</f>
        <v>66560.03</v>
      </c>
      <c r="X38" s="92">
        <f>'1421'!I40</f>
        <v>415645.23</v>
      </c>
      <c r="Y38" s="81">
        <f t="shared" si="27"/>
        <v>0.16013663864252695</v>
      </c>
      <c r="Z38" s="79"/>
      <c r="AA38" s="96" t="e">
        <f>#REF!+Q38+V38</f>
        <v>#REF!</v>
      </c>
      <c r="AB38" s="92">
        <f>'1601'!H40</f>
        <v>91904.74</v>
      </c>
      <c r="AC38" s="92">
        <f>'1601'!I40</f>
        <v>680602.78</v>
      </c>
      <c r="AD38" s="81">
        <f t="shared" si="28"/>
        <v>0.13503432942192803</v>
      </c>
      <c r="AE38" s="79"/>
      <c r="AF38" s="92">
        <v>0</v>
      </c>
      <c r="AG38" s="92">
        <f>'1621'!H41</f>
        <v>90406.930000000008</v>
      </c>
      <c r="AH38" s="96">
        <f>'1621'!I41</f>
        <v>676948.39</v>
      </c>
      <c r="AI38" s="81">
        <f t="shared" si="29"/>
        <v>0.13355069800815983</v>
      </c>
      <c r="AJ38" s="79"/>
      <c r="AK38" s="96" t="e">
        <f t="shared" si="30"/>
        <v>#REF!</v>
      </c>
      <c r="AL38" s="96">
        <f>'1721'!H40</f>
        <v>189605.99</v>
      </c>
      <c r="AM38" s="96">
        <f>'1721'!I40</f>
        <v>1322801.8099999998</v>
      </c>
      <c r="AN38" s="81">
        <f t="shared" si="31"/>
        <v>0.14333665751485478</v>
      </c>
      <c r="AO38" s="79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1" t="str">
        <f t="shared" si="33"/>
        <v>%</v>
      </c>
      <c r="AT38" s="79"/>
      <c r="AU38" s="96" t="e">
        <f t="shared" si="34"/>
        <v>#REF!</v>
      </c>
      <c r="AV38" s="92">
        <f t="shared" si="36"/>
        <v>656286.32999999996</v>
      </c>
      <c r="AW38" s="92">
        <f t="shared" si="37"/>
        <v>4402906.68</v>
      </c>
      <c r="AX38" s="93">
        <f t="shared" si="35"/>
        <v>0.14905751534120637</v>
      </c>
    </row>
    <row r="39" spans="1:53" ht="16.5" x14ac:dyDescent="0.25">
      <c r="A39" s="49" t="s">
        <v>36</v>
      </c>
      <c r="B39" s="46" t="s">
        <v>37</v>
      </c>
      <c r="C39" s="78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1" t="s">
        <v>96</v>
      </c>
      <c r="K39" s="101"/>
      <c r="L39" s="96">
        <v>0</v>
      </c>
      <c r="M39" s="92">
        <f>'1361'!H41</f>
        <v>0</v>
      </c>
      <c r="N39" s="92">
        <f>'1361'!I41</f>
        <v>0</v>
      </c>
      <c r="O39" s="81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1" t="str">
        <f t="shared" si="26"/>
        <v>%</v>
      </c>
      <c r="U39" s="78"/>
      <c r="V39" s="96" t="e">
        <f>L39+#REF!+Q39</f>
        <v>#REF!</v>
      </c>
      <c r="W39" s="92">
        <f>'1421'!H41</f>
        <v>0</v>
      </c>
      <c r="X39" s="92">
        <f>'1421'!I41</f>
        <v>0</v>
      </c>
      <c r="Y39" s="81" t="str">
        <f t="shared" si="27"/>
        <v>%</v>
      </c>
      <c r="Z39" s="79"/>
      <c r="AA39" s="96" t="e">
        <f>#REF!+Q39+V39</f>
        <v>#REF!</v>
      </c>
      <c r="AB39" s="92">
        <f>'1601'!H41</f>
        <v>0</v>
      </c>
      <c r="AC39" s="92">
        <f>'1601'!I41</f>
        <v>0</v>
      </c>
      <c r="AD39" s="81" t="str">
        <f t="shared" si="28"/>
        <v>%</v>
      </c>
      <c r="AE39" s="79"/>
      <c r="AF39" s="92">
        <v>0</v>
      </c>
      <c r="AG39" s="92">
        <f>'1621'!H42</f>
        <v>0</v>
      </c>
      <c r="AH39" s="96">
        <f>'1621'!I42</f>
        <v>0</v>
      </c>
      <c r="AI39" s="81" t="str">
        <f t="shared" si="29"/>
        <v>%</v>
      </c>
      <c r="AJ39" s="79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1" t="str">
        <f t="shared" si="31"/>
        <v>%</v>
      </c>
      <c r="AO39" s="79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1" t="str">
        <f t="shared" si="33"/>
        <v>%</v>
      </c>
      <c r="AT39" s="79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3" ht="16.5" x14ac:dyDescent="0.25">
      <c r="A40" s="49" t="s">
        <v>36</v>
      </c>
      <c r="B40" s="46" t="s">
        <v>37</v>
      </c>
      <c r="C40" s="78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3866.46</v>
      </c>
      <c r="I40" s="92">
        <f>'1351'!I40</f>
        <v>21021</v>
      </c>
      <c r="J40" s="81">
        <v>9.4010751153608296E-2</v>
      </c>
      <c r="K40" s="101"/>
      <c r="L40" s="96">
        <v>0</v>
      </c>
      <c r="M40" s="92">
        <f>'1361'!H42</f>
        <v>4964.0200000000004</v>
      </c>
      <c r="N40" s="92">
        <f>'1361'!I42</f>
        <v>25857</v>
      </c>
      <c r="O40" s="81">
        <f t="shared" si="25"/>
        <v>0.19197973469466684</v>
      </c>
      <c r="P40" s="101"/>
      <c r="Q40" s="96" t="e">
        <f>G40+L40+#REF!</f>
        <v>#REF!</v>
      </c>
      <c r="R40" s="92">
        <f>'1401'!H42</f>
        <v>3170.15</v>
      </c>
      <c r="S40" s="92">
        <f>'1401'!I42</f>
        <v>17979</v>
      </c>
      <c r="T40" s="81">
        <f t="shared" si="26"/>
        <v>0.17632515712776017</v>
      </c>
      <c r="U40" s="78"/>
      <c r="V40" s="96" t="e">
        <f>L40+#REF!+Q40</f>
        <v>#REF!</v>
      </c>
      <c r="W40" s="92">
        <f>'1421'!H42</f>
        <v>3407.38</v>
      </c>
      <c r="X40" s="92">
        <f>'1421'!I42</f>
        <v>18525</v>
      </c>
      <c r="Y40" s="81">
        <f t="shared" si="27"/>
        <v>0.18393414304993252</v>
      </c>
      <c r="Z40" s="79"/>
      <c r="AA40" s="96" t="e">
        <f>#REF!+Q40+V40</f>
        <v>#REF!</v>
      </c>
      <c r="AB40" s="92">
        <f>'1601'!H42</f>
        <v>4555.13</v>
      </c>
      <c r="AC40" s="92">
        <f>'1601'!I42</f>
        <v>24960</v>
      </c>
      <c r="AD40" s="81">
        <f t="shared" si="28"/>
        <v>0.18249719551282051</v>
      </c>
      <c r="AE40" s="79"/>
      <c r="AF40" s="92">
        <v>0</v>
      </c>
      <c r="AG40" s="92">
        <f>'1621'!H43</f>
        <v>4677.08</v>
      </c>
      <c r="AH40" s="96">
        <f>'1621'!I43</f>
        <v>28626</v>
      </c>
      <c r="AI40" s="81">
        <f t="shared" si="29"/>
        <v>0.16338573324949346</v>
      </c>
      <c r="AJ40" s="79"/>
      <c r="AK40" s="96" t="e">
        <f t="shared" si="30"/>
        <v>#REF!</v>
      </c>
      <c r="AL40" s="96">
        <f>'1721'!H42</f>
        <v>11477.5</v>
      </c>
      <c r="AM40" s="96">
        <f>'1721'!I42</f>
        <v>62400</v>
      </c>
      <c r="AN40" s="81">
        <f t="shared" si="31"/>
        <v>0.18393429487179488</v>
      </c>
      <c r="AO40" s="79"/>
      <c r="AP40" s="96" t="e">
        <f t="shared" si="32"/>
        <v>#REF!</v>
      </c>
      <c r="AQ40" s="96">
        <f>'9000'!H39</f>
        <v>131861.92000000001</v>
      </c>
      <c r="AR40" s="96">
        <f>'9000'!I39</f>
        <v>606263.59000000008</v>
      </c>
      <c r="AS40" s="81">
        <f t="shared" si="33"/>
        <v>0.21749932236570563</v>
      </c>
      <c r="AT40" s="79"/>
      <c r="AU40" s="96" t="e">
        <f t="shared" si="34"/>
        <v>#REF!</v>
      </c>
      <c r="AV40" s="92">
        <f t="shared" si="36"/>
        <v>167979.64</v>
      </c>
      <c r="AW40" s="92">
        <f t="shared" si="37"/>
        <v>805631.59000000008</v>
      </c>
      <c r="AX40" s="93">
        <f t="shared" si="35"/>
        <v>0.20850676920451941</v>
      </c>
    </row>
    <row r="41" spans="1:53" ht="16.5" x14ac:dyDescent="0.25">
      <c r="A41" s="49" t="s">
        <v>36</v>
      </c>
      <c r="B41" s="46" t="s">
        <v>37</v>
      </c>
      <c r="C41" s="78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1" t="s">
        <v>96</v>
      </c>
      <c r="K41" s="101"/>
      <c r="L41" s="96">
        <v>0</v>
      </c>
      <c r="M41" s="92">
        <f>'1361'!H43</f>
        <v>0</v>
      </c>
      <c r="N41" s="92">
        <f>'1361'!I43</f>
        <v>0</v>
      </c>
      <c r="O41" s="81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1" t="str">
        <f t="shared" si="26"/>
        <v>%</v>
      </c>
      <c r="U41" s="78"/>
      <c r="V41" s="96" t="e">
        <f>L41+#REF!+Q41</f>
        <v>#REF!</v>
      </c>
      <c r="W41" s="92">
        <f>'1421'!H43</f>
        <v>0</v>
      </c>
      <c r="X41" s="92">
        <f>'1421'!I43</f>
        <v>0</v>
      </c>
      <c r="Y41" s="81" t="str">
        <f t="shared" si="27"/>
        <v>%</v>
      </c>
      <c r="Z41" s="79"/>
      <c r="AA41" s="96" t="e">
        <f>#REF!+Q41+V41</f>
        <v>#REF!</v>
      </c>
      <c r="AB41" s="92">
        <f>'1601'!H43</f>
        <v>0</v>
      </c>
      <c r="AC41" s="92">
        <f>'1601'!I43</f>
        <v>0</v>
      </c>
      <c r="AD41" s="81" t="str">
        <f t="shared" si="28"/>
        <v>%</v>
      </c>
      <c r="AE41" s="79"/>
      <c r="AF41" s="92">
        <v>0</v>
      </c>
      <c r="AG41" s="92">
        <f>'1621'!H44</f>
        <v>0</v>
      </c>
      <c r="AH41" s="96">
        <f>'1621'!I44</f>
        <v>0</v>
      </c>
      <c r="AI41" s="81" t="str">
        <f t="shared" si="29"/>
        <v>%</v>
      </c>
      <c r="AJ41" s="79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1" t="str">
        <f t="shared" si="31"/>
        <v>%</v>
      </c>
      <c r="AO41" s="79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1" t="str">
        <f t="shared" si="33"/>
        <v>%</v>
      </c>
      <c r="AT41" s="79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3" ht="16.5" x14ac:dyDescent="0.25">
      <c r="A42" s="49" t="s">
        <v>36</v>
      </c>
      <c r="B42" s="46" t="s">
        <v>37</v>
      </c>
      <c r="C42" s="78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1" t="s">
        <v>96</v>
      </c>
      <c r="K42" s="101"/>
      <c r="L42" s="96">
        <v>0</v>
      </c>
      <c r="M42" s="92">
        <f>'1361'!H44</f>
        <v>0</v>
      </c>
      <c r="N42" s="92">
        <f>'1361'!I44</f>
        <v>0</v>
      </c>
      <c r="O42" s="81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1" t="str">
        <f t="shared" si="26"/>
        <v>%</v>
      </c>
      <c r="U42" s="78"/>
      <c r="V42" s="96" t="e">
        <f>L42+#REF!+Q42</f>
        <v>#REF!</v>
      </c>
      <c r="W42" s="92">
        <f>'1421'!H44</f>
        <v>0</v>
      </c>
      <c r="X42" s="92">
        <f>'1421'!I44</f>
        <v>0</v>
      </c>
      <c r="Y42" s="81" t="str">
        <f t="shared" si="27"/>
        <v>%</v>
      </c>
      <c r="Z42" s="79"/>
      <c r="AA42" s="96" t="e">
        <f>#REF!+Q42+V42</f>
        <v>#REF!</v>
      </c>
      <c r="AB42" s="92">
        <f>'1601'!H44</f>
        <v>0</v>
      </c>
      <c r="AC42" s="92">
        <f>'1601'!I44</f>
        <v>0</v>
      </c>
      <c r="AD42" s="81" t="str">
        <f t="shared" si="28"/>
        <v>%</v>
      </c>
      <c r="AE42" s="79"/>
      <c r="AF42" s="92">
        <v>0</v>
      </c>
      <c r="AG42" s="92">
        <f>'1621'!H45</f>
        <v>0</v>
      </c>
      <c r="AH42" s="96">
        <f>'1621'!I45</f>
        <v>0</v>
      </c>
      <c r="AI42" s="81" t="str">
        <f t="shared" si="29"/>
        <v>%</v>
      </c>
      <c r="AJ42" s="79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1" t="str">
        <f t="shared" si="31"/>
        <v>%</v>
      </c>
      <c r="AO42" s="79"/>
      <c r="AP42" s="96" t="e">
        <f t="shared" si="32"/>
        <v>#REF!</v>
      </c>
      <c r="AQ42" s="96">
        <f>'9000'!H41</f>
        <v>45138.319999999992</v>
      </c>
      <c r="AR42" s="96">
        <f>'9000'!I41</f>
        <v>216609.29</v>
      </c>
      <c r="AS42" s="81">
        <f t="shared" si="33"/>
        <v>0.20838589148230896</v>
      </c>
      <c r="AT42" s="79"/>
      <c r="AU42" s="96" t="e">
        <f t="shared" si="34"/>
        <v>#REF!</v>
      </c>
      <c r="AV42" s="92">
        <f t="shared" si="36"/>
        <v>45138.319999999992</v>
      </c>
      <c r="AW42" s="92">
        <f t="shared" si="37"/>
        <v>216609.29</v>
      </c>
      <c r="AX42" s="93">
        <f t="shared" si="35"/>
        <v>0.20838589148230896</v>
      </c>
    </row>
    <row r="43" spans="1:53" ht="16.5" x14ac:dyDescent="0.25">
      <c r="A43" s="49" t="s">
        <v>36</v>
      </c>
      <c r="B43" s="46" t="s">
        <v>37</v>
      </c>
      <c r="C43" s="78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1" t="s">
        <v>96</v>
      </c>
      <c r="K43" s="101"/>
      <c r="L43" s="96">
        <v>0</v>
      </c>
      <c r="M43" s="92">
        <f>'1361'!H45</f>
        <v>0</v>
      </c>
      <c r="N43" s="92">
        <f>'1361'!I45</f>
        <v>0</v>
      </c>
      <c r="O43" s="81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1" t="str">
        <f t="shared" si="26"/>
        <v>%</v>
      </c>
      <c r="U43" s="78"/>
      <c r="V43" s="96" t="e">
        <f>L43+#REF!+Q43</f>
        <v>#REF!</v>
      </c>
      <c r="W43" s="92">
        <f>'1421'!H45</f>
        <v>0</v>
      </c>
      <c r="X43" s="92">
        <f>'1421'!I45</f>
        <v>0</v>
      </c>
      <c r="Y43" s="81" t="str">
        <f t="shared" si="27"/>
        <v>%</v>
      </c>
      <c r="Z43" s="79"/>
      <c r="AA43" s="96" t="e">
        <f>#REF!+Q43+V43</f>
        <v>#REF!</v>
      </c>
      <c r="AB43" s="92">
        <f>'1601'!H45</f>
        <v>0</v>
      </c>
      <c r="AC43" s="92">
        <f>'1601'!I45</f>
        <v>500</v>
      </c>
      <c r="AD43" s="81">
        <f t="shared" si="28"/>
        <v>0</v>
      </c>
      <c r="AE43" s="79"/>
      <c r="AF43" s="92">
        <v>0</v>
      </c>
      <c r="AG43" s="92">
        <f>'1621'!H46</f>
        <v>483.75</v>
      </c>
      <c r="AH43" s="96">
        <f>'1621'!I46</f>
        <v>12000</v>
      </c>
      <c r="AI43" s="81">
        <f t="shared" si="29"/>
        <v>4.0312500000000001E-2</v>
      </c>
      <c r="AJ43" s="79"/>
      <c r="AK43" s="96" t="e">
        <f t="shared" si="30"/>
        <v>#REF!</v>
      </c>
      <c r="AL43" s="96">
        <f>'1721'!H45</f>
        <v>6526</v>
      </c>
      <c r="AM43" s="96">
        <f>'1721'!I45</f>
        <v>90600</v>
      </c>
      <c r="AN43" s="81">
        <f t="shared" si="31"/>
        <v>7.2030905077262689E-2</v>
      </c>
      <c r="AO43" s="79"/>
      <c r="AP43" s="96" t="e">
        <f t="shared" si="32"/>
        <v>#REF!</v>
      </c>
      <c r="AQ43" s="96">
        <f>'9000'!H42</f>
        <v>293635.26</v>
      </c>
      <c r="AR43" s="96">
        <f>'9000'!I42</f>
        <v>2432618.75</v>
      </c>
      <c r="AS43" s="81">
        <f t="shared" si="33"/>
        <v>0.12070747214293238</v>
      </c>
      <c r="AT43" s="79"/>
      <c r="AU43" s="96" t="e">
        <f t="shared" si="34"/>
        <v>#REF!</v>
      </c>
      <c r="AV43" s="92">
        <f t="shared" si="36"/>
        <v>300645.01</v>
      </c>
      <c r="AW43" s="92">
        <f t="shared" si="37"/>
        <v>2535718.75</v>
      </c>
      <c r="AX43" s="93">
        <f t="shared" si="35"/>
        <v>0.11856402055630184</v>
      </c>
    </row>
    <row r="44" spans="1:53" ht="16.5" x14ac:dyDescent="0.25">
      <c r="A44" s="49" t="s">
        <v>36</v>
      </c>
      <c r="B44" s="46" t="s">
        <v>37</v>
      </c>
      <c r="C44" s="78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81966.100000000006</v>
      </c>
      <c r="I44" s="92">
        <f>'1351'!I44</f>
        <v>286561.95</v>
      </c>
      <c r="J44" s="81">
        <v>0.19245437155909917</v>
      </c>
      <c r="K44" s="101"/>
      <c r="L44" s="96">
        <v>0</v>
      </c>
      <c r="M44" s="92">
        <f>'1361'!H46</f>
        <v>79393.19</v>
      </c>
      <c r="N44" s="92">
        <f>'1361'!I46</f>
        <v>305745.84999999998</v>
      </c>
      <c r="O44" s="81">
        <f t="shared" si="25"/>
        <v>0.25967054009073226</v>
      </c>
      <c r="P44" s="101"/>
      <c r="Q44" s="96" t="e">
        <f>G44+L44+#REF!</f>
        <v>#REF!</v>
      </c>
      <c r="R44" s="92">
        <f>'1401'!H46</f>
        <v>59157.929999999986</v>
      </c>
      <c r="S44" s="92">
        <f>'1401'!I46</f>
        <v>321371.81</v>
      </c>
      <c r="T44" s="81">
        <f t="shared" si="26"/>
        <v>0.18407940011913299</v>
      </c>
      <c r="U44" s="78"/>
      <c r="V44" s="96" t="e">
        <f>L44+#REF!+Q44</f>
        <v>#REF!</v>
      </c>
      <c r="W44" s="92">
        <f>'1421'!H46</f>
        <v>54279.37999999999</v>
      </c>
      <c r="X44" s="92">
        <f>'1421'!I46</f>
        <v>170665.9</v>
      </c>
      <c r="Y44" s="81">
        <f t="shared" si="27"/>
        <v>0.31804467090379501</v>
      </c>
      <c r="Z44" s="79"/>
      <c r="AA44" s="96" t="e">
        <f>#REF!+Q44+V44</f>
        <v>#REF!</v>
      </c>
      <c r="AB44" s="92">
        <f>'1601'!H46</f>
        <v>177364.93000000005</v>
      </c>
      <c r="AC44" s="92">
        <f>'1601'!I46</f>
        <v>341120.17</v>
      </c>
      <c r="AD44" s="81">
        <f t="shared" si="28"/>
        <v>0.51994852723015483</v>
      </c>
      <c r="AE44" s="79"/>
      <c r="AF44" s="92">
        <v>0</v>
      </c>
      <c r="AG44" s="92">
        <f>'1621'!H47</f>
        <v>170252.77</v>
      </c>
      <c r="AH44" s="96">
        <f>'1621'!I47</f>
        <v>530551.88</v>
      </c>
      <c r="AI44" s="81">
        <f t="shared" si="29"/>
        <v>0.32089749639563991</v>
      </c>
      <c r="AJ44" s="79"/>
      <c r="AK44" s="96" t="e">
        <f t="shared" si="30"/>
        <v>#REF!</v>
      </c>
      <c r="AL44" s="96">
        <f>'1721'!H46</f>
        <v>254812.63999999998</v>
      </c>
      <c r="AM44" s="96">
        <f>'1721'!I46</f>
        <v>1149317.7</v>
      </c>
      <c r="AN44" s="81">
        <f t="shared" si="31"/>
        <v>0.2217077488670017</v>
      </c>
      <c r="AO44" s="79"/>
      <c r="AP44" s="96" t="e">
        <f t="shared" si="32"/>
        <v>#REF!</v>
      </c>
      <c r="AQ44" s="96">
        <f>'9000'!H43</f>
        <v>77141.00999999998</v>
      </c>
      <c r="AR44" s="96">
        <f>'9000'!I43</f>
        <v>821374</v>
      </c>
      <c r="AS44" s="81">
        <f t="shared" si="33"/>
        <v>9.3917034140355043E-2</v>
      </c>
      <c r="AT44" s="79"/>
      <c r="AU44" s="96" t="e">
        <f t="shared" si="34"/>
        <v>#REF!</v>
      </c>
      <c r="AV44" s="92">
        <f t="shared" si="36"/>
        <v>954367.95000000007</v>
      </c>
      <c r="AW44" s="92">
        <f t="shared" si="37"/>
        <v>3926709.26</v>
      </c>
      <c r="AX44" s="93">
        <f t="shared" si="35"/>
        <v>0.24304522866559267</v>
      </c>
    </row>
    <row r="45" spans="1:53" ht="16.5" x14ac:dyDescent="0.25">
      <c r="A45" s="49" t="s">
        <v>36</v>
      </c>
      <c r="B45" s="46" t="s">
        <v>37</v>
      </c>
      <c r="C45" s="78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1" t="s">
        <v>96</v>
      </c>
      <c r="K45" s="101"/>
      <c r="L45" s="96">
        <v>0</v>
      </c>
      <c r="M45" s="92">
        <f>'1361'!H47</f>
        <v>6074.25</v>
      </c>
      <c r="N45" s="92">
        <f>'1361'!I47</f>
        <v>0</v>
      </c>
      <c r="O45" s="81" t="str">
        <f t="shared" si="25"/>
        <v>%</v>
      </c>
      <c r="P45" s="101"/>
      <c r="Q45" s="96" t="e">
        <f>G45+L45+#REF!</f>
        <v>#REF!</v>
      </c>
      <c r="R45" s="92">
        <f>'1401'!H47</f>
        <v>0</v>
      </c>
      <c r="S45" s="92">
        <f>'1401'!I47</f>
        <v>4500</v>
      </c>
      <c r="T45" s="81">
        <f t="shared" si="26"/>
        <v>0</v>
      </c>
      <c r="U45" s="78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1">
        <f t="shared" si="27"/>
        <v>1</v>
      </c>
      <c r="Z45" s="79"/>
      <c r="AA45" s="96" t="e">
        <f>#REF!+Q45+V45</f>
        <v>#REF!</v>
      </c>
      <c r="AB45" s="92">
        <f>'1601'!H47</f>
        <v>0</v>
      </c>
      <c r="AC45" s="92">
        <f>'1601'!I47</f>
        <v>0</v>
      </c>
      <c r="AD45" s="81" t="str">
        <f t="shared" si="28"/>
        <v>%</v>
      </c>
      <c r="AE45" s="79"/>
      <c r="AF45" s="92">
        <v>0</v>
      </c>
      <c r="AG45" s="92">
        <f>'1621'!H48</f>
        <v>0</v>
      </c>
      <c r="AH45" s="96">
        <f>'1621'!I48</f>
        <v>0</v>
      </c>
      <c r="AI45" s="81" t="str">
        <f t="shared" si="29"/>
        <v>%</v>
      </c>
      <c r="AJ45" s="79"/>
      <c r="AK45" s="96" t="e">
        <f t="shared" si="30"/>
        <v>#REF!</v>
      </c>
      <c r="AL45" s="96">
        <f>'1721'!H47</f>
        <v>0</v>
      </c>
      <c r="AM45" s="96">
        <f>'1721'!I47</f>
        <v>30000</v>
      </c>
      <c r="AN45" s="81">
        <f t="shared" si="31"/>
        <v>0</v>
      </c>
      <c r="AO45" s="79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1" t="str">
        <f t="shared" si="33"/>
        <v>%</v>
      </c>
      <c r="AT45" s="79"/>
      <c r="AU45" s="96" t="e">
        <f t="shared" si="34"/>
        <v>#REF!</v>
      </c>
      <c r="AV45" s="92">
        <f t="shared" si="36"/>
        <v>22574.25</v>
      </c>
      <c r="AW45" s="92">
        <f t="shared" si="37"/>
        <v>51000</v>
      </c>
      <c r="AX45" s="93">
        <f t="shared" si="35"/>
        <v>0.44263235294117648</v>
      </c>
    </row>
    <row r="46" spans="1:53" ht="16.5" x14ac:dyDescent="0.25">
      <c r="A46" s="49" t="s">
        <v>36</v>
      </c>
      <c r="B46" s="46" t="s">
        <v>37</v>
      </c>
      <c r="C46" s="78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0</v>
      </c>
      <c r="I46" s="92">
        <f>'1351'!I46</f>
        <v>0</v>
      </c>
      <c r="J46" s="81" t="s">
        <v>96</v>
      </c>
      <c r="K46" s="101"/>
      <c r="L46" s="96">
        <v>0</v>
      </c>
      <c r="M46" s="92">
        <f>'1361'!H48</f>
        <v>0</v>
      </c>
      <c r="N46" s="92">
        <f>'1361'!I48</f>
        <v>0</v>
      </c>
      <c r="O46" s="81" t="str">
        <f t="shared" si="25"/>
        <v>%</v>
      </c>
      <c r="P46" s="101"/>
      <c r="Q46" s="96" t="e">
        <f>G46+L46+#REF!</f>
        <v>#REF!</v>
      </c>
      <c r="R46" s="92">
        <f>'1401'!H48</f>
        <v>0</v>
      </c>
      <c r="S46" s="92">
        <f>'1401'!I48</f>
        <v>0</v>
      </c>
      <c r="T46" s="81" t="str">
        <f t="shared" si="26"/>
        <v>%</v>
      </c>
      <c r="U46" s="78"/>
      <c r="V46" s="96" t="e">
        <f>L46+#REF!+Q46</f>
        <v>#REF!</v>
      </c>
      <c r="W46" s="92">
        <f>'1421'!H48</f>
        <v>0</v>
      </c>
      <c r="X46" s="92">
        <f>'1421'!I48</f>
        <v>0</v>
      </c>
      <c r="Y46" s="81" t="str">
        <f t="shared" si="27"/>
        <v>%</v>
      </c>
      <c r="Z46" s="79"/>
      <c r="AA46" s="96" t="e">
        <f>#REF!+Q46+V46</f>
        <v>#REF!</v>
      </c>
      <c r="AB46" s="92">
        <f>'1601'!H48</f>
        <v>0</v>
      </c>
      <c r="AC46" s="92">
        <f>'1601'!I48</f>
        <v>0</v>
      </c>
      <c r="AD46" s="81" t="str">
        <f t="shared" si="28"/>
        <v>%</v>
      </c>
      <c r="AE46" s="79"/>
      <c r="AF46" s="92">
        <v>0</v>
      </c>
      <c r="AG46" s="92">
        <f>'1621'!H49</f>
        <v>0</v>
      </c>
      <c r="AH46" s="96">
        <f>'1621'!I49</f>
        <v>0</v>
      </c>
      <c r="AI46" s="81" t="str">
        <f t="shared" si="29"/>
        <v>%</v>
      </c>
      <c r="AJ46" s="79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1" t="str">
        <f t="shared" si="31"/>
        <v>%</v>
      </c>
      <c r="AO46" s="79"/>
      <c r="AP46" s="96" t="e">
        <f t="shared" si="32"/>
        <v>#REF!</v>
      </c>
      <c r="AQ46" s="96">
        <f>'9000'!H45</f>
        <v>9615.7599999999984</v>
      </c>
      <c r="AR46" s="96">
        <f>'9000'!I45</f>
        <v>120887.31</v>
      </c>
      <c r="AS46" s="81">
        <f t="shared" si="33"/>
        <v>7.9543171239396415E-2</v>
      </c>
      <c r="AT46" s="79"/>
      <c r="AU46" s="96" t="e">
        <f t="shared" si="34"/>
        <v>#REF!</v>
      </c>
      <c r="AV46" s="92">
        <f t="shared" si="36"/>
        <v>9615.7599999999984</v>
      </c>
      <c r="AW46" s="92">
        <f t="shared" si="37"/>
        <v>120887.31</v>
      </c>
      <c r="AX46" s="93">
        <f t="shared" si="35"/>
        <v>7.9543171239396415E-2</v>
      </c>
    </row>
    <row r="47" spans="1:53" ht="16.5" x14ac:dyDescent="0.25">
      <c r="A47" s="49" t="s">
        <v>36</v>
      </c>
      <c r="B47" s="46" t="s">
        <v>37</v>
      </c>
      <c r="C47" s="78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1" t="s">
        <v>96</v>
      </c>
      <c r="K47" s="101"/>
      <c r="L47" s="96">
        <v>0</v>
      </c>
      <c r="M47" s="92">
        <f>'1361'!H49</f>
        <v>0</v>
      </c>
      <c r="N47" s="92">
        <f>'1361'!I49</f>
        <v>0</v>
      </c>
      <c r="O47" s="81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1" t="str">
        <f t="shared" si="26"/>
        <v>%</v>
      </c>
      <c r="U47" s="78"/>
      <c r="V47" s="96" t="e">
        <f>L47+#REF!+Q47</f>
        <v>#REF!</v>
      </c>
      <c r="W47" s="92">
        <f>'1421'!H49</f>
        <v>0</v>
      </c>
      <c r="X47" s="92">
        <f>'1421'!I49</f>
        <v>0</v>
      </c>
      <c r="Y47" s="81" t="str">
        <f t="shared" si="27"/>
        <v>%</v>
      </c>
      <c r="Z47" s="79"/>
      <c r="AA47" s="96" t="e">
        <f>#REF!+Q47+V47</f>
        <v>#REF!</v>
      </c>
      <c r="AB47" s="92">
        <f>'1601'!H49</f>
        <v>0</v>
      </c>
      <c r="AC47" s="92">
        <f>'1601'!I49</f>
        <v>5365.2</v>
      </c>
      <c r="AD47" s="81">
        <f t="shared" si="28"/>
        <v>0</v>
      </c>
      <c r="AE47" s="79"/>
      <c r="AF47" s="92">
        <v>0</v>
      </c>
      <c r="AG47" s="92">
        <f>'1621'!H50</f>
        <v>0</v>
      </c>
      <c r="AH47" s="96">
        <f>'1621'!I50</f>
        <v>24318.2</v>
      </c>
      <c r="AI47" s="81">
        <f t="shared" si="29"/>
        <v>0</v>
      </c>
      <c r="AJ47" s="79"/>
      <c r="AK47" s="96" t="e">
        <f t="shared" si="30"/>
        <v>#REF!</v>
      </c>
      <c r="AL47" s="96">
        <f>'1721'!H49</f>
        <v>213258.93999999994</v>
      </c>
      <c r="AM47" s="96">
        <f>'1721'!I49</f>
        <v>846712.96</v>
      </c>
      <c r="AN47" s="81">
        <f t="shared" si="31"/>
        <v>0.25186686642897255</v>
      </c>
      <c r="AO47" s="79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1" t="str">
        <f t="shared" si="33"/>
        <v>%</v>
      </c>
      <c r="AT47" s="79"/>
      <c r="AU47" s="96" t="e">
        <f t="shared" si="34"/>
        <v>#REF!</v>
      </c>
      <c r="AV47" s="92">
        <f t="shared" si="36"/>
        <v>213258.93999999994</v>
      </c>
      <c r="AW47" s="92">
        <f t="shared" si="37"/>
        <v>876396.36</v>
      </c>
      <c r="AX47" s="93">
        <f t="shared" si="35"/>
        <v>0.24333617725203691</v>
      </c>
    </row>
    <row r="48" spans="1:53" ht="16.5" x14ac:dyDescent="0.25">
      <c r="A48" s="49" t="s">
        <v>36</v>
      </c>
      <c r="B48" s="46" t="s">
        <v>37</v>
      </c>
      <c r="C48" s="78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1" t="s">
        <v>96</v>
      </c>
      <c r="K48" s="101"/>
      <c r="L48" s="96">
        <v>0</v>
      </c>
      <c r="M48" s="92">
        <f>'1361'!H50</f>
        <v>0</v>
      </c>
      <c r="N48" s="92">
        <f>'1361'!I50</f>
        <v>0</v>
      </c>
      <c r="O48" s="81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1" t="str">
        <f t="shared" si="26"/>
        <v>%</v>
      </c>
      <c r="U48" s="78"/>
      <c r="V48" s="96" t="e">
        <f>L48+#REF!+Q48</f>
        <v>#REF!</v>
      </c>
      <c r="W48" s="92">
        <f>'1421'!H50</f>
        <v>0</v>
      </c>
      <c r="X48" s="92">
        <f>'1421'!I50</f>
        <v>0</v>
      </c>
      <c r="Y48" s="81" t="str">
        <f t="shared" si="27"/>
        <v>%</v>
      </c>
      <c r="Z48" s="79"/>
      <c r="AA48" s="96" t="e">
        <f>#REF!+Q48+V48</f>
        <v>#REF!</v>
      </c>
      <c r="AB48" s="92">
        <f>'1601'!H50</f>
        <v>0</v>
      </c>
      <c r="AC48" s="92">
        <f>'1601'!I50</f>
        <v>0</v>
      </c>
      <c r="AD48" s="81" t="str">
        <f t="shared" si="28"/>
        <v>%</v>
      </c>
      <c r="AE48" s="79"/>
      <c r="AF48" s="92">
        <v>0</v>
      </c>
      <c r="AG48" s="92">
        <f>'1621'!H51</f>
        <v>0</v>
      </c>
      <c r="AH48" s="96">
        <f>'1621'!I51</f>
        <v>0</v>
      </c>
      <c r="AI48" s="81" t="str">
        <f t="shared" si="29"/>
        <v>%</v>
      </c>
      <c r="AJ48" s="79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1" t="str">
        <f t="shared" si="31"/>
        <v>%</v>
      </c>
      <c r="AO48" s="79"/>
      <c r="AP48" s="96" t="e">
        <f t="shared" si="32"/>
        <v>#REF!</v>
      </c>
      <c r="AQ48" s="96">
        <f>'9000'!H47</f>
        <v>42202.9</v>
      </c>
      <c r="AR48" s="96">
        <f>'9000'!I47</f>
        <v>368602</v>
      </c>
      <c r="AS48" s="81">
        <f t="shared" si="33"/>
        <v>0.11449449541782193</v>
      </c>
      <c r="AT48" s="79"/>
      <c r="AU48" s="96" t="e">
        <f t="shared" si="34"/>
        <v>#REF!</v>
      </c>
      <c r="AV48" s="92">
        <f t="shared" si="36"/>
        <v>42202.9</v>
      </c>
      <c r="AW48" s="92">
        <f t="shared" si="37"/>
        <v>368602</v>
      </c>
      <c r="AX48" s="93">
        <f t="shared" si="35"/>
        <v>0.11449449541782193</v>
      </c>
      <c r="AZ48" s="69"/>
    </row>
    <row r="49" spans="1:50" ht="16.5" x14ac:dyDescent="0.25">
      <c r="A49" s="49"/>
      <c r="B49" s="46"/>
      <c r="C49" s="78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1" t="s">
        <v>96</v>
      </c>
      <c r="K49" s="101"/>
      <c r="L49" s="96">
        <v>0</v>
      </c>
      <c r="M49" s="92">
        <f>'1361'!H51</f>
        <v>0</v>
      </c>
      <c r="N49" s="92">
        <f>'1361'!I51</f>
        <v>0</v>
      </c>
      <c r="O49" s="81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1" t="str">
        <f t="shared" si="26"/>
        <v>%</v>
      </c>
      <c r="U49" s="78"/>
      <c r="V49" s="96" t="e">
        <f>L49+#REF!+Q49</f>
        <v>#REF!</v>
      </c>
      <c r="W49" s="92">
        <f>'1421'!H51</f>
        <v>0</v>
      </c>
      <c r="X49" s="92">
        <f>'1421'!I51</f>
        <v>0</v>
      </c>
      <c r="Y49" s="81" t="str">
        <f t="shared" si="27"/>
        <v>%</v>
      </c>
      <c r="Z49" s="79"/>
      <c r="AA49" s="96" t="e">
        <f>#REF!+Q49+V49</f>
        <v>#REF!</v>
      </c>
      <c r="AB49" s="92">
        <f>'1601'!H51</f>
        <v>0</v>
      </c>
      <c r="AC49" s="92">
        <f>'1601'!I51</f>
        <v>0</v>
      </c>
      <c r="AD49" s="81" t="str">
        <f t="shared" si="28"/>
        <v>%</v>
      </c>
      <c r="AE49" s="79"/>
      <c r="AF49" s="92">
        <v>0</v>
      </c>
      <c r="AG49" s="92">
        <f>'1621'!H52</f>
        <v>0</v>
      </c>
      <c r="AH49" s="96">
        <f>'1621'!I52</f>
        <v>0</v>
      </c>
      <c r="AI49" s="81" t="str">
        <f t="shared" si="29"/>
        <v>%</v>
      </c>
      <c r="AJ49" s="79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1" t="str">
        <f t="shared" si="31"/>
        <v>%</v>
      </c>
      <c r="AO49" s="79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1"/>
      <c r="AT49" s="79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2" t="s">
        <v>38</v>
      </c>
      <c r="D50" s="78"/>
      <c r="E50" s="78"/>
      <c r="F50" s="78"/>
      <c r="G50" s="102">
        <f>SUM(G34:G49)</f>
        <v>111637.45999999999</v>
      </c>
      <c r="H50" s="102">
        <f>SUM(H34:H49)</f>
        <v>434190.62000000011</v>
      </c>
      <c r="I50" s="102">
        <f>SUM(I34:I49)</f>
        <v>4233439.8599999994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633993.25</v>
      </c>
      <c r="N50" s="102">
        <f>SUM(N34:N48)</f>
        <v>5132651.3899999997</v>
      </c>
      <c r="O50" s="103">
        <f>IF(N50=0,"",M50/N50)</f>
        <v>0.12352158793313256</v>
      </c>
      <c r="P50" s="101"/>
      <c r="Q50" s="102" t="e">
        <f>SUM(Q34:Q49)</f>
        <v>#REF!</v>
      </c>
      <c r="R50" s="102">
        <f>SUM(R34:R49)</f>
        <v>367007.64999999997</v>
      </c>
      <c r="S50" s="102">
        <f>SUM(S34:S49)</f>
        <v>3654064.56</v>
      </c>
      <c r="T50" s="103">
        <f>IF(S50=0,"",R50/S50)</f>
        <v>0.10043819532296384</v>
      </c>
      <c r="U50" s="78"/>
      <c r="V50" s="102" t="e">
        <f>SUM(V34:V49)</f>
        <v>#REF!</v>
      </c>
      <c r="W50" s="102">
        <f>SUM(W34:W49)</f>
        <v>392760.76</v>
      </c>
      <c r="X50" s="102">
        <f>SUM(X34:X49)</f>
        <v>3768787.8099999996</v>
      </c>
      <c r="Y50" s="103">
        <f>IF(X50=0,"",W50/X50)</f>
        <v>0.10421408150330438</v>
      </c>
      <c r="Z50" s="79"/>
      <c r="AA50" s="102" t="e">
        <f>SUM(AA34:AA49)</f>
        <v>#REF!</v>
      </c>
      <c r="AB50" s="102">
        <f>SUM(AB34:AB49)</f>
        <v>519770.62000000005</v>
      </c>
      <c r="AC50" s="102">
        <f>SUM(AC34:AC49)</f>
        <v>4307973.16</v>
      </c>
      <c r="AD50" s="103">
        <f>IF(AC50=0,"",AB50/AC50)</f>
        <v>0.12065317045754297</v>
      </c>
      <c r="AE50" s="79"/>
      <c r="AF50" s="102">
        <f>SUM(AF34:AF49)</f>
        <v>0</v>
      </c>
      <c r="AG50" s="102">
        <f>SUM(AG34:AG49)</f>
        <v>582493.24</v>
      </c>
      <c r="AH50" s="102">
        <f>SUM(AH34:AH49)</f>
        <v>4914666.63</v>
      </c>
      <c r="AI50" s="103">
        <f>IF(AH50=0,"",AG50/AH50)</f>
        <v>0.11852141434056943</v>
      </c>
      <c r="AJ50" s="79"/>
      <c r="AK50" s="102" t="e">
        <f>SUM(AK34:AK49)</f>
        <v>#REF!</v>
      </c>
      <c r="AL50" s="102">
        <f>SUM(AL34:AL49)</f>
        <v>1455410.87</v>
      </c>
      <c r="AM50" s="102">
        <f>SUM(AM34:AM49)</f>
        <v>11858218.98</v>
      </c>
      <c r="AN50" s="103">
        <f>IF(AM50=0,"",AL50/AM50)</f>
        <v>0.122734356015409</v>
      </c>
      <c r="AO50" s="79"/>
      <c r="AP50" s="102" t="e">
        <f>SUM(AP34:AP49)</f>
        <v>#REF!</v>
      </c>
      <c r="AQ50" s="102">
        <f>SUM(AQ34:AQ49)</f>
        <v>849760.41</v>
      </c>
      <c r="AR50" s="102">
        <f>SUM(AR34:AR49)</f>
        <v>6040230.9299999997</v>
      </c>
      <c r="AS50" s="103">
        <f>IF(AR50=0,"",AQ50/AR50)</f>
        <v>0.14068343079061715</v>
      </c>
      <c r="AT50" s="79"/>
      <c r="AU50" s="102" t="e">
        <f>SUM(AU34:AU49)</f>
        <v>#REF!</v>
      </c>
      <c r="AV50" s="118">
        <f>SUM(AV34:AV49)</f>
        <v>5235387.42</v>
      </c>
      <c r="AW50" s="118">
        <f>SUM(AW34:AW49)</f>
        <v>43910033.320000008</v>
      </c>
      <c r="AX50" s="119">
        <f>IF(AW50=0,"",AV50/AW50)</f>
        <v>0.11922986671056343</v>
      </c>
    </row>
    <row r="51" spans="1:50" ht="27.75" customHeight="1" x14ac:dyDescent="0.25">
      <c r="A51" s="45"/>
      <c r="B51" s="46"/>
      <c r="C51" s="82" t="s">
        <v>39</v>
      </c>
      <c r="D51" s="78"/>
      <c r="E51" s="78"/>
      <c r="F51" s="78"/>
      <c r="G51" s="105">
        <f>G30-G50</f>
        <v>308618.44000000006</v>
      </c>
      <c r="H51" s="105">
        <f>H30-H50</f>
        <v>397210.90999999992</v>
      </c>
      <c r="I51" s="105">
        <f>I30-I50</f>
        <v>520379.1400000006</v>
      </c>
      <c r="J51" s="103">
        <v>0.59306458748519342</v>
      </c>
      <c r="K51" s="101"/>
      <c r="L51" s="105">
        <f>L30-L50</f>
        <v>-79418.789999999994</v>
      </c>
      <c r="M51" s="105">
        <f>M30-M50</f>
        <v>419913.26</v>
      </c>
      <c r="N51" s="105">
        <f>N30-N50</f>
        <v>576539.61000000034</v>
      </c>
      <c r="O51" s="103">
        <f>IF(N51=0,"",M51/N51)</f>
        <v>0.72833375663469113</v>
      </c>
      <c r="P51" s="101"/>
      <c r="Q51" s="105" t="e">
        <f>Q30-Q50</f>
        <v>#REF!</v>
      </c>
      <c r="R51" s="105">
        <f>R30-R50</f>
        <v>313905.13000000006</v>
      </c>
      <c r="S51" s="105">
        <f>S30-S50</f>
        <v>333352.43999999994</v>
      </c>
      <c r="T51" s="103">
        <f>IF(S51=0,"",R51/S51)</f>
        <v>0.94166141396775171</v>
      </c>
      <c r="U51" s="78"/>
      <c r="V51" s="105" t="e">
        <f>V30-V50</f>
        <v>#REF!</v>
      </c>
      <c r="W51" s="105">
        <f>W30-W50</f>
        <v>332419.84999999998</v>
      </c>
      <c r="X51" s="105">
        <f>X30-X50</f>
        <v>339983.19000000041</v>
      </c>
      <c r="Y51" s="103">
        <f>IF(X51=0,"",W51/X51)</f>
        <v>0.97775378247377343</v>
      </c>
      <c r="Z51" s="79"/>
      <c r="AA51" s="105" t="e">
        <f>AA30-AA50</f>
        <v>#REF!</v>
      </c>
      <c r="AB51" s="105">
        <f>AB30-AB50</f>
        <v>417646.74000000005</v>
      </c>
      <c r="AC51" s="105">
        <f>AC30-AC50</f>
        <v>963434.83999999985</v>
      </c>
      <c r="AD51" s="103">
        <f>IF(AC51=0,"",AB51/AC51)</f>
        <v>0.43349765096724147</v>
      </c>
      <c r="AE51" s="79"/>
      <c r="AF51" s="105">
        <f>AF30-AF50</f>
        <v>0</v>
      </c>
      <c r="AG51" s="105">
        <f>AG30-AG50</f>
        <v>376234.02</v>
      </c>
      <c r="AH51" s="105">
        <f>AH30-AH50</f>
        <v>1011001.3700000001</v>
      </c>
      <c r="AI51" s="103">
        <f>IF(AH51=0,"",AG51/AH51)</f>
        <v>0.37213997049281938</v>
      </c>
      <c r="AJ51" s="79"/>
      <c r="AK51" s="105" t="e">
        <f>AK30-AK50</f>
        <v>#REF!</v>
      </c>
      <c r="AL51" s="105">
        <f>AL30-AL50</f>
        <v>853652.25</v>
      </c>
      <c r="AM51" s="105">
        <f>AM30-AM50</f>
        <v>1467661.0199999996</v>
      </c>
      <c r="AN51" s="103">
        <f>IF(AM51=0,"",AL51/AM51)</f>
        <v>0.58164129071166604</v>
      </c>
      <c r="AO51" s="79"/>
      <c r="AP51" s="105" t="e">
        <f>AP30-AP50</f>
        <v>#REF!</v>
      </c>
      <c r="AQ51" s="105">
        <f>AQ30-AQ50</f>
        <v>-343736.43000000005</v>
      </c>
      <c r="AR51" s="105">
        <f>AR30-AR50</f>
        <v>-2872603.9699999997</v>
      </c>
      <c r="AS51" s="103">
        <f>IF(AR51=0,"",AQ51/AR51)</f>
        <v>0.11966022242878126</v>
      </c>
      <c r="AT51" s="79"/>
      <c r="AU51" s="105" t="e">
        <f>AU30-AU50</f>
        <v>#REF!</v>
      </c>
      <c r="AV51" s="120">
        <f>AV30-AV50</f>
        <v>2767245.7300000004</v>
      </c>
      <c r="AW51" s="120">
        <f>AW30-AW50</f>
        <v>2339747.6399999931</v>
      </c>
      <c r="AX51" s="119">
        <f>IF(AW51=0,"",AV51/AW51)</f>
        <v>1.1827111961527648</v>
      </c>
    </row>
    <row r="52" spans="1:50" ht="16.5" x14ac:dyDescent="0.25">
      <c r="C52" s="79"/>
      <c r="D52" s="79"/>
      <c r="E52" s="79"/>
      <c r="F52" s="79"/>
      <c r="G52" s="79"/>
      <c r="H52" s="106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121"/>
      <c r="AW52" s="121"/>
      <c r="AX52" s="121"/>
    </row>
    <row r="53" spans="1:50" ht="16.5" x14ac:dyDescent="0.25">
      <c r="A53" s="45"/>
      <c r="B53" s="46"/>
      <c r="C53" s="82" t="s">
        <v>40</v>
      </c>
      <c r="D53" s="78"/>
      <c r="E53" s="78"/>
      <c r="F53" s="78"/>
      <c r="G53" s="101"/>
      <c r="H53" s="101"/>
      <c r="I53" s="101"/>
      <c r="J53" s="81"/>
      <c r="K53" s="101"/>
      <c r="L53" s="101"/>
      <c r="M53" s="101"/>
      <c r="N53" s="101"/>
      <c r="O53" s="81"/>
      <c r="P53" s="101"/>
      <c r="Q53" s="101"/>
      <c r="R53" s="101"/>
      <c r="S53" s="101"/>
      <c r="T53" s="81"/>
      <c r="U53" s="78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8" t="s">
        <v>17</v>
      </c>
      <c r="D54" s="107" t="s">
        <v>42</v>
      </c>
      <c r="E54" s="108">
        <v>3600</v>
      </c>
      <c r="F54" s="78"/>
      <c r="G54" s="109">
        <v>0</v>
      </c>
      <c r="H54" s="109">
        <f>'1351'!H54</f>
        <v>0</v>
      </c>
      <c r="I54" s="110">
        <v>50176</v>
      </c>
      <c r="J54" s="81">
        <v>0</v>
      </c>
      <c r="K54" s="101"/>
      <c r="L54" s="109">
        <v>0</v>
      </c>
      <c r="M54" s="109">
        <f>'1361'!H56</f>
        <v>0</v>
      </c>
      <c r="N54" s="110">
        <f>'1361'!I56</f>
        <v>97643</v>
      </c>
      <c r="O54" s="81">
        <f>IF(N54=0,"%",M54/N54)</f>
        <v>0</v>
      </c>
      <c r="P54" s="101"/>
      <c r="Q54" s="109" t="e">
        <f>G54+L54+#REF!</f>
        <v>#REF!</v>
      </c>
      <c r="R54" s="109">
        <f>'1401'!H56</f>
        <v>0</v>
      </c>
      <c r="S54" s="110">
        <f>'1401'!I56</f>
        <v>201417</v>
      </c>
      <c r="T54" s="81">
        <f>IF(S54=0,"%",R54/S54)</f>
        <v>0</v>
      </c>
      <c r="U54" s="78"/>
      <c r="V54" s="79"/>
      <c r="W54" s="109">
        <f>'1421'!H56</f>
        <v>0</v>
      </c>
      <c r="X54" s="110">
        <f>'1421'!I56</f>
        <v>122336</v>
      </c>
      <c r="Y54" s="81">
        <f>IF(X54=0,"%",W54/X54)</f>
        <v>0</v>
      </c>
      <c r="Z54" s="79"/>
      <c r="AA54" s="79"/>
      <c r="AB54" s="109">
        <f>'1601'!H56</f>
        <v>0</v>
      </c>
      <c r="AC54" s="110">
        <f>'1601'!I56</f>
        <v>87326</v>
      </c>
      <c r="AD54" s="81">
        <f>IF(AC54=0,"%",AB54/AC54)</f>
        <v>0</v>
      </c>
      <c r="AE54" s="79"/>
      <c r="AF54" s="109">
        <f>'1401'!V56</f>
        <v>0</v>
      </c>
      <c r="AG54" s="109">
        <f>'1621'!H57</f>
        <v>0</v>
      </c>
      <c r="AH54" s="110">
        <f>'1621'!I57</f>
        <v>86347</v>
      </c>
      <c r="AI54" s="81">
        <f>IF(AH54=0,"%",AG54/AH54)</f>
        <v>0</v>
      </c>
      <c r="AJ54" s="79"/>
      <c r="AK54" s="79"/>
      <c r="AL54" s="109">
        <f>'1721'!H56</f>
        <v>0</v>
      </c>
      <c r="AM54" s="110">
        <f>'1721'!I56</f>
        <v>224842</v>
      </c>
      <c r="AN54" s="81">
        <f>IF(AM54=0,"%",AL54/AM54)</f>
        <v>0</v>
      </c>
      <c r="AO54" s="79"/>
      <c r="AP54" s="79"/>
      <c r="AQ54" s="109">
        <f>'9000'!H54</f>
        <v>455673.2</v>
      </c>
      <c r="AR54" s="110">
        <f>'9000'!I54</f>
        <v>2651707.31</v>
      </c>
      <c r="AS54" s="81">
        <f>IF(AR54=0,"%",AQ54/AR54)</f>
        <v>0.17184143901613336</v>
      </c>
      <c r="AT54" s="79"/>
      <c r="AU54" s="79"/>
      <c r="AV54" s="122">
        <f>H54+M54+R54+W54+AB54+AG54+AL54++AQ54</f>
        <v>455673.2</v>
      </c>
      <c r="AW54" s="122">
        <f>I54+N54+S54+X54+AC54+AH54+AM54++AR54</f>
        <v>3521794.31</v>
      </c>
      <c r="AX54" s="93">
        <f>IF(AW54=0,"%",AV54/AW54)</f>
        <v>0.1293866591544354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8" t="s">
        <v>17</v>
      </c>
      <c r="D55" s="107" t="s">
        <v>43</v>
      </c>
      <c r="E55" s="108">
        <v>9700</v>
      </c>
      <c r="F55" s="78"/>
      <c r="G55" s="92">
        <v>0</v>
      </c>
      <c r="H55" s="92">
        <f>'1351'!H55</f>
        <v>71400.13</v>
      </c>
      <c r="I55" s="92">
        <v>570554.80000000005</v>
      </c>
      <c r="J55" s="81">
        <v>0</v>
      </c>
      <c r="K55" s="101"/>
      <c r="L55" s="109">
        <v>0</v>
      </c>
      <c r="M55" s="109">
        <f>'1361'!H57</f>
        <v>85027.36</v>
      </c>
      <c r="N55" s="110">
        <f>'1361'!I57</f>
        <v>674180.4</v>
      </c>
      <c r="O55" s="81">
        <f>IF(N55=0,"%",M55/N55)</f>
        <v>0.12611959647595805</v>
      </c>
      <c r="P55" s="101"/>
      <c r="Q55" s="109" t="e">
        <f>G55+L55+#REF!</f>
        <v>#REF!</v>
      </c>
      <c r="R55" s="109">
        <f>'1401'!H57</f>
        <v>68912.209999999992</v>
      </c>
      <c r="S55" s="110">
        <f>'1401'!I57</f>
        <v>534771</v>
      </c>
      <c r="T55" s="81">
        <f>IF(S55=0,"%",R55/S55)</f>
        <v>0.12886302735189453</v>
      </c>
      <c r="U55" s="78"/>
      <c r="V55" s="79"/>
      <c r="W55" s="109">
        <f>'1421'!H57</f>
        <v>60978.95</v>
      </c>
      <c r="X55" s="110">
        <f>'1421'!I57</f>
        <v>462317.8</v>
      </c>
      <c r="Y55" s="81">
        <f>IF(X55=0,"%",W55/X55)</f>
        <v>0.13189833919438101</v>
      </c>
      <c r="Z55" s="79"/>
      <c r="AA55" s="79"/>
      <c r="AB55" s="109">
        <f>'1601'!H57</f>
        <v>127299.53</v>
      </c>
      <c r="AC55" s="110">
        <f>'1601'!I57</f>
        <v>1050760.8</v>
      </c>
      <c r="AD55" s="81">
        <f>IF(AC55=0,"%",AB55/AC55)</f>
        <v>0.12114986588765016</v>
      </c>
      <c r="AE55" s="79"/>
      <c r="AF55" s="109">
        <f>'1401'!V57</f>
        <v>32293.61</v>
      </c>
      <c r="AG55" s="109">
        <f>'1621'!H58</f>
        <v>116832.66</v>
      </c>
      <c r="AH55" s="110">
        <f>'1621'!I58</f>
        <v>1097348</v>
      </c>
      <c r="AI55" s="81">
        <f>IF(AH55=0,"%",AG55/AH55)</f>
        <v>0.1064681942282667</v>
      </c>
      <c r="AJ55" s="79"/>
      <c r="AK55" s="79"/>
      <c r="AL55" s="109">
        <f>'1721'!H57</f>
        <v>249390.03</v>
      </c>
      <c r="AM55" s="110">
        <f>'1721'!I57</f>
        <v>1847905</v>
      </c>
      <c r="AN55" s="81">
        <f>IF(AM55=0,"%",AL55/AM55)</f>
        <v>0.13495825272403073</v>
      </c>
      <c r="AO55" s="79"/>
      <c r="AP55" s="79"/>
      <c r="AQ55" s="109">
        <f>'9000'!H55</f>
        <v>0</v>
      </c>
      <c r="AR55" s="110">
        <f>'9000'!I55</f>
        <v>40000</v>
      </c>
      <c r="AS55" s="81">
        <f>IF(AR55=0,"%",AQ55/AR55)</f>
        <v>0</v>
      </c>
      <c r="AT55" s="79"/>
      <c r="AU55" s="79"/>
      <c r="AV55" s="122">
        <f>H55+M55+R55+W55+AB55+AG55+AL55++AQ55</f>
        <v>779840.87</v>
      </c>
      <c r="AW55" s="122">
        <f>I55+N55+S55+X55+AC55+AH55+AM55++AR55</f>
        <v>6277837.7999999998</v>
      </c>
      <c r="AX55" s="93">
        <f>IF(AW55=0,"%",AV55/AW55)</f>
        <v>0.12422125178194314</v>
      </c>
    </row>
    <row r="56" spans="1:50" ht="27.75" customHeight="1" x14ac:dyDescent="0.25">
      <c r="A56" s="45"/>
      <c r="B56" s="46"/>
      <c r="C56" s="82" t="s">
        <v>44</v>
      </c>
      <c r="D56" s="78"/>
      <c r="E56" s="78"/>
      <c r="F56" s="78"/>
      <c r="G56" s="102">
        <f>SUM(G54:G55)</f>
        <v>0</v>
      </c>
      <c r="H56" s="102">
        <f>H54-H55</f>
        <v>-71400.13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-85027.36</v>
      </c>
      <c r="N56" s="102">
        <f>SUM(N54:N55)</f>
        <v>771823.4</v>
      </c>
      <c r="O56" s="103">
        <f>IF(N56=0,"",M56/N56)</f>
        <v>-0.11016426814735081</v>
      </c>
      <c r="P56" s="101"/>
      <c r="Q56" s="102" t="e">
        <f>SUM(Q54:Q55)</f>
        <v>#REF!</v>
      </c>
      <c r="R56" s="102">
        <f>R54-R55</f>
        <v>-68912.209999999992</v>
      </c>
      <c r="S56" s="102">
        <f>SUM(S54:S55)</f>
        <v>736188</v>
      </c>
      <c r="T56" s="103">
        <f>IF(S56=0,"",R56/S56)</f>
        <v>-9.3606809673615968E-2</v>
      </c>
      <c r="U56" s="78"/>
      <c r="V56" s="79"/>
      <c r="W56" s="102">
        <f>W54-W55</f>
        <v>-60978.95</v>
      </c>
      <c r="X56" s="102">
        <f>SUM(X54:X55)</f>
        <v>584653.80000000005</v>
      </c>
      <c r="Y56" s="103">
        <f>IF(X56=0,"",W56/X56)</f>
        <v>-0.10429924512591895</v>
      </c>
      <c r="Z56" s="79"/>
      <c r="AA56" s="79"/>
      <c r="AB56" s="102">
        <f>AB54-AB55</f>
        <v>-127299.53</v>
      </c>
      <c r="AC56" s="102">
        <f>SUM(AC54:AC55)</f>
        <v>1138086.8</v>
      </c>
      <c r="AD56" s="103">
        <f>IF(AC56=0,"",AB56/AC56)</f>
        <v>-0.11185397282527132</v>
      </c>
      <c r="AE56" s="79"/>
      <c r="AF56" s="102">
        <f>AF54-AF55</f>
        <v>-32293.61</v>
      </c>
      <c r="AG56" s="102">
        <f>AG54-AG55</f>
        <v>-116832.66</v>
      </c>
      <c r="AH56" s="102">
        <f>SUM(AH54:AH55)</f>
        <v>1183695</v>
      </c>
      <c r="AI56" s="103">
        <f>IF(AH56=0,"",AG56/AH56)</f>
        <v>-9.8701658788792723E-2</v>
      </c>
      <c r="AJ56" s="79"/>
      <c r="AK56" s="79"/>
      <c r="AL56" s="102">
        <f>AL54-AL55</f>
        <v>-249390.03</v>
      </c>
      <c r="AM56" s="102">
        <f>SUM(AM54:AM55)</f>
        <v>2072747</v>
      </c>
      <c r="AN56" s="103">
        <f>IF(AM56=0,"",AL56/AM56)</f>
        <v>-0.12031860617817804</v>
      </c>
      <c r="AO56" s="79"/>
      <c r="AP56" s="79"/>
      <c r="AQ56" s="102">
        <f>AQ54-AQ55</f>
        <v>455673.2</v>
      </c>
      <c r="AR56" s="102">
        <f>SUM(AR54:AR55)</f>
        <v>2691707.31</v>
      </c>
      <c r="AS56" s="103">
        <f>IF(AR56=0,"",AQ56/AR56)</f>
        <v>0.16928779674785666</v>
      </c>
      <c r="AT56" s="79"/>
      <c r="AU56" s="79"/>
      <c r="AV56" s="118">
        <f>AV54-AV55</f>
        <v>-324167.67</v>
      </c>
      <c r="AW56" s="118">
        <f>SUM(AW54:AW55)</f>
        <v>9799632.1099999994</v>
      </c>
      <c r="AX56" s="119">
        <f>IF(AW56=0,"",AV56/AW56)</f>
        <v>-3.307957547398175E-2</v>
      </c>
    </row>
    <row r="57" spans="1:50" ht="16.5" x14ac:dyDescent="0.25">
      <c r="A57" s="45"/>
      <c r="B57" s="46"/>
      <c r="C57" s="78"/>
      <c r="D57" s="78"/>
      <c r="E57" s="78"/>
      <c r="F57" s="78"/>
      <c r="G57" s="101"/>
      <c r="H57" s="101"/>
      <c r="I57" s="101"/>
      <c r="J57" s="81"/>
      <c r="K57" s="101"/>
      <c r="L57" s="101"/>
      <c r="M57" s="101"/>
      <c r="N57" s="101"/>
      <c r="O57" s="81"/>
      <c r="P57" s="101"/>
      <c r="Q57" s="101"/>
      <c r="R57" s="101"/>
      <c r="S57" s="101"/>
      <c r="T57" s="81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325810.77999999991</v>
      </c>
      <c r="I58" s="113"/>
      <c r="J58" s="114" t="s">
        <v>97</v>
      </c>
      <c r="K58" s="113"/>
      <c r="L58" s="113"/>
      <c r="M58" s="113">
        <f>M51+M56</f>
        <v>334885.90000000002</v>
      </c>
      <c r="N58" s="113"/>
      <c r="O58" s="113"/>
      <c r="P58" s="113"/>
      <c r="Q58" s="113"/>
      <c r="R58" s="113">
        <f>R51+R56</f>
        <v>244992.92000000007</v>
      </c>
      <c r="S58" s="113"/>
      <c r="T58" s="114" t="str">
        <f>IF(S58=0,"",R58/S58)</f>
        <v/>
      </c>
      <c r="U58" s="112"/>
      <c r="V58" s="112"/>
      <c r="W58" s="115">
        <f>W51+W56</f>
        <v>271440.89999999997</v>
      </c>
      <c r="X58" s="112"/>
      <c r="Y58" s="112"/>
      <c r="Z58" s="112"/>
      <c r="AA58" s="112"/>
      <c r="AB58" s="115">
        <f>AB51+AB56</f>
        <v>290347.21000000008</v>
      </c>
      <c r="AC58" s="112"/>
      <c r="AD58" s="112"/>
      <c r="AE58" s="112"/>
      <c r="AF58" s="112"/>
      <c r="AG58" s="115">
        <f>AG51+AG56</f>
        <v>259401.36000000002</v>
      </c>
      <c r="AH58" s="112"/>
      <c r="AI58" s="112"/>
      <c r="AJ58" s="112"/>
      <c r="AK58" s="112"/>
      <c r="AL58" s="115">
        <f>AL51+AL56</f>
        <v>604262.22</v>
      </c>
      <c r="AM58" s="112"/>
      <c r="AN58" s="112"/>
      <c r="AO58" s="112"/>
      <c r="AP58" s="112"/>
      <c r="AQ58" s="115">
        <f>AQ51+AQ56</f>
        <v>111936.76999999996</v>
      </c>
      <c r="AR58" s="112"/>
      <c r="AS58" s="112"/>
      <c r="AT58" s="112"/>
      <c r="AU58" s="112"/>
      <c r="AV58" s="123">
        <f>AV51+AV56</f>
        <v>2443078.0600000005</v>
      </c>
      <c r="AW58" s="124"/>
      <c r="AX58" s="124"/>
    </row>
    <row r="59" spans="1:50" ht="16.5" x14ac:dyDescent="0.25">
      <c r="C59" s="79"/>
      <c r="D59" s="79"/>
      <c r="E59" s="79"/>
      <c r="F59" s="79"/>
      <c r="G59" s="79"/>
      <c r="H59" s="79"/>
      <c r="I59" s="79"/>
      <c r="J59" s="79" t="s">
        <v>97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</row>
    <row r="60" spans="1:50" ht="16.5" x14ac:dyDescent="0.25">
      <c r="C60" s="79"/>
      <c r="D60" s="79"/>
      <c r="E60" s="79"/>
      <c r="F60" s="79"/>
      <c r="G60" s="79"/>
      <c r="H60" s="79"/>
      <c r="I60" s="79"/>
      <c r="J60" s="79" t="s">
        <v>97</v>
      </c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8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116">
        <f>AV58-2443078.06</f>
        <v>0</v>
      </c>
      <c r="AW60" s="79"/>
      <c r="AX60" s="79" t="s">
        <v>105</v>
      </c>
    </row>
  </sheetData>
  <mergeCells count="22"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  <mergeCell ref="Q8:T8"/>
    <mergeCell ref="V8:Y8"/>
    <mergeCell ref="AA8:AD8"/>
    <mergeCell ref="G9:J9"/>
    <mergeCell ref="L9:O9"/>
    <mergeCell ref="Q9:T9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2024-09-12T20:36:43Z</cp:lastPrinted>
  <dcterms:created xsi:type="dcterms:W3CDTF">2022-11-03T13:00:31Z</dcterms:created>
  <dcterms:modified xsi:type="dcterms:W3CDTF">2024-09-30T17:27:29Z</dcterms:modified>
</cp:coreProperties>
</file>