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jnorred\Desktop\FY27\"/>
    </mc:Choice>
  </mc:AlternateContent>
  <xr:revisionPtr revIDLastSave="0" documentId="13_ncr:1_{BF5F9800-7FED-4CB1-BD84-429C0763070B}" xr6:coauthVersionLast="47" xr6:coauthVersionMax="47" xr10:uidLastSave="{00000000-0000-0000-0000-000000000000}"/>
  <workbookProtection workbookAlgorithmName="SHA-512" workbookHashValue="iiLvPESjHIvwIbEojQ7xur3RAbPw3APzs3x4JfdBKxPsy70sQMk7Z2VBvSqZQcxELJylv0nR8DtsUVyMQKUk5A==" workbookSaltValue="N6+7+qPXp7/mXcjWk7gExA==" workbookSpinCount="100000" lockStructure="1"/>
  <bookViews>
    <workbookView xWindow="-108" yWindow="-108" windowWidth="23256" windowHeight="13896" tabRatio="883" activeTab="6"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Instructions!$D$1:$E$178</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Instructions!$C$175</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Instructions!$C$117</definedName>
    <definedName name="DataEntryOtherBSLBRCLAdjl1">Instructions!$C$141</definedName>
    <definedName name="DataEntryOtherBSLBRCLAdjl3">Instructions!$C$142</definedName>
    <definedName name="DataEntryOtherBSLBRCLAdjl4">Instructions!$C$144</definedName>
    <definedName name="DataEntryOtherBSLBRCLAdjl5">Instructions!$C$145</definedName>
    <definedName name="DataEntryOtherBSLBRCLAdjl6">Instructions!$C$147</definedName>
    <definedName name="DataEntryOtherBSLBRCLAdjl7">Instructions!$C$148</definedName>
    <definedName name="DataEntryOtherInfol1">Instructions!$C$153</definedName>
    <definedName name="DataEntryOtherInfol12">Instructions!$C$164</definedName>
    <definedName name="DataEntryOtherInfol13">Instructions!$C$165</definedName>
    <definedName name="DataEntryOtherInfol14e">Instructions!$C$166</definedName>
    <definedName name="DataEntryOtherInfol16">Instructions!$C$167</definedName>
    <definedName name="DataEntryOtherInfol18">Instructions!$C$168</definedName>
    <definedName name="DataEntryOtherInfol19">Instructions!$C$169</definedName>
    <definedName name="DataEntryOtherInfol1Continued">Instructions!$C$154</definedName>
    <definedName name="DataEntryOtherInfol2">Instructions!$C$155</definedName>
    <definedName name="DataEntryOtherInfol21">Instructions!$C$170</definedName>
    <definedName name="DataEntryOtherInfol22">Instructions!$C$171</definedName>
    <definedName name="DataEntryOtherInfol3">Instructions!$C$156</definedName>
    <definedName name="DataEntryOtherInfol4">Instructions!$C$157</definedName>
    <definedName name="DataEntryOtherInfol5">Instructions!$C$159</definedName>
    <definedName name="DataEntryOtherInfol6">Instructions!$C$161</definedName>
    <definedName name="DataEntryOtherInfol7">Instructions!$C$162</definedName>
    <definedName name="DataEntryOtherInfol9">Instructions!$C$163</definedName>
    <definedName name="DataEntryTransl1">Instructions!$C$149</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Instructions!$C$140</definedName>
    <definedName name="DataEntryUSCSCAl23">Instructions!$C$139</definedName>
    <definedName name="DataEntryUSCSCAl7">Instructions!$C$126</definedName>
    <definedName name="DataEntryUSCSCAl720">Instructions!$C$124</definedName>
    <definedName name="DataEntryUSCSCAl9">Instructions!$C$125</definedName>
    <definedName name="DDPJCTEOriginalBudget">'Truth in Tax'!$G$18</definedName>
    <definedName name="DecrTransMOtoEWS">'Page 7'!$J$47</definedName>
    <definedName name="DistrictName">Cover!$C$1</definedName>
    <definedName name="DistrictSystems">Instructions!$C$119</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Carryforward">'Page 1'!$L$43</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Instructions!$C$104</definedName>
    <definedName name="FundBalA2a">Instructions!$C$105</definedName>
    <definedName name="FundBalA2b">Instructions!$C$106</definedName>
    <definedName name="FundBalA3a">Instructions!$C$107</definedName>
    <definedName name="FundBalA3b">Instructions!$C$108</definedName>
    <definedName name="FundBalA3c">Instructions!$C$109</definedName>
    <definedName name="FundBalA3d">Instructions!$C$110</definedName>
    <definedName name="FundBalA3e">Instructions!$C$111</definedName>
    <definedName name="FundBalA4a">Instructions!$C$112</definedName>
    <definedName name="FundBalA4b">Instructions!$C$113</definedName>
    <definedName name="FundBalA4c">Instructions!$C$114</definedName>
    <definedName name="FundBalA4d">Instructions!$C$115</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Instructions!$C$116</definedName>
    <definedName name="FundBalGen">Instructions!$C$103</definedName>
    <definedName name="FY2018Salary">Cover!$S$40</definedName>
    <definedName name="GBLBudgFY">'Page 7'!$J$54</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7'!$A$1:$M$68</definedName>
    <definedName name="Page6F456">Instructions!$C$41</definedName>
    <definedName name="Page6l16">Instructions!$C$39</definedName>
    <definedName name="Page6l17">Instructions!$C$40</definedName>
    <definedName name="Page6l2">Instructions!$C$49</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Instructions!#REF!</definedName>
    <definedName name="Page6l34">Instructions!$C$48</definedName>
    <definedName name="Page6l4">Instructions!$C$44</definedName>
    <definedName name="Page7" localSheetId="8">'Page 8'!$A$1:$K$34</definedName>
    <definedName name="Page7Gen">Instructions!$C$50</definedName>
    <definedName name="Page7l1">Instructions!$C$51</definedName>
    <definedName name="Page7l10">#REF!</definedName>
    <definedName name="Page7l10a">Instructions!#REF!</definedName>
    <definedName name="Page7l10b">Instructions!#REF!</definedName>
    <definedName name="Page7l10c">Instructions!#REF!</definedName>
    <definedName name="Page7l11">#REF!</definedName>
    <definedName name="Page7l2athroughb">Instructions!$C$52</definedName>
    <definedName name="Page7l2b">Instructions!$C$53</definedName>
    <definedName name="Page7l3">Instructions!$C$54</definedName>
    <definedName name="Page7l3a">Instructions!$C$56</definedName>
    <definedName name="Page7l3b">Instructions!$C$58</definedName>
    <definedName name="Page7l3c">Instructions!$C$59</definedName>
    <definedName name="Page7l4">Instructions!$C$61</definedName>
    <definedName name="Page7l5">Instructions!$C$63</definedName>
    <definedName name="Page7l5d">Instructions!$C$64</definedName>
    <definedName name="Page7l6">Instructions!$C$66</definedName>
    <definedName name="Page7l7">Instructions!$C$68</definedName>
    <definedName name="Page7l8a">Instructions!$C$69</definedName>
    <definedName name="Page7l8b">Instructions!$C$70</definedName>
    <definedName name="Page7l8c">Instructions!$C$71</definedName>
    <definedName name="Page7l8d">Instructions!$C$72</definedName>
    <definedName name="Page7l8e">Instructions!$C$73</definedName>
    <definedName name="Page7l8f">Instructions!$C$74</definedName>
    <definedName name="Page7l8g">Instructions!$C$75</definedName>
    <definedName name="Page7l8h">Instructions!$C$77</definedName>
    <definedName name="Page7l9">Instructions!$C$78</definedName>
    <definedName name="Page8lA10">Instructions!$C$87</definedName>
    <definedName name="Page8lA2">Instructions!$C$79</definedName>
    <definedName name="Page8lA3">Instructions!$C$81</definedName>
    <definedName name="Page8lA6">Instructions!$C$83</definedName>
    <definedName name="Page8lA8">Instructions!$C$84</definedName>
    <definedName name="Page8lA9">Instructions!$C$85</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Calculations!$A$1:$S$240</definedName>
    <definedName name="_xlnm.Print_Area" localSheetId="14">'Data Entry'!$A$1:$Q$147</definedName>
    <definedName name="_xlnm.Print_Area" localSheetId="13">'Fund balances'!$A$1:$Q$40</definedName>
    <definedName name="_xlnm.Print_Area" localSheetId="17">Instructions!$A$1:$D$178</definedName>
    <definedName name="_xlnm.Print_Area" localSheetId="1">'Page 1'!$A$1:$N$46</definedName>
    <definedName name="_xlnm.Print_Area" localSheetId="2">'Page 2'!$A$1:$U$30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7'!$A$1:$M$61</definedName>
    <definedName name="_xlnm.Print_Area" localSheetId="8">'Page 8'!$A$1:$K$36</definedName>
    <definedName name="_xlnm.Print_Area" localSheetId="10">'Summary Page 1'!$A$1:$I$63</definedName>
    <definedName name="_xlnm.Print_Area" localSheetId="11">'Summary Page 2'!$A$1:$N$51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Instructions!$C$95</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Instructions!$C$90</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Instructions!$C$102</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7'!$M$56</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Instructions!$C$96</definedName>
    <definedName name="TruthInTaxBaseLmt">'Truth in Tax'!$I$16</definedName>
    <definedName name="TruthinTaxl1">Instructions!$C$99</definedName>
    <definedName name="TruthinTaxl2">Instructions!$C$100</definedName>
    <definedName name="TruthinTaxl8a">Instructions!$C$101</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8'!$K$30</definedName>
    <definedName name="UCBLBudgFYSumm">'Summary Page 1'!$D$24</definedName>
    <definedName name="UCOBudgFYSumm">'Summary Page 1'!$B$24</definedName>
    <definedName name="UCOFundK3ReadExp">'Page 4'!$K$32</definedName>
    <definedName name="UCOFundType">Instructions!$C$120</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7'!$A$1:$M$71</definedName>
    <definedName name="Z_0F9ECBDE_145C_4D55_87B4_D9130808EEB8_.wvu.PrintArea" localSheetId="8" hidden="1">'Page 8'!$A$1:$K$34</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7'!$A$1:$M$71</definedName>
    <definedName name="Z_903F8610_9018_4A51_AB82_3BFF7D9F8301_.wvu.PrintArea" localSheetId="8" hidden="1">'Page 8'!$A$1:$K$34</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8" i="7" l="1"/>
  <c r="O8" i="16"/>
  <c r="AA168" i="30"/>
  <c r="L166" i="30"/>
  <c r="G166" i="30"/>
  <c r="E166" i="30"/>
  <c r="L165" i="30"/>
  <c r="G165" i="30"/>
  <c r="E165" i="30"/>
  <c r="L164" i="30"/>
  <c r="G164" i="30"/>
  <c r="E164" i="30"/>
  <c r="L163" i="30"/>
  <c r="G163" i="30"/>
  <c r="E163" i="30"/>
  <c r="L162" i="30"/>
  <c r="G162" i="30"/>
  <c r="E162" i="30"/>
  <c r="L157" i="30"/>
  <c r="G157" i="30"/>
  <c r="E157" i="30"/>
  <c r="G156" i="30"/>
  <c r="E156" i="30"/>
  <c r="G155" i="30"/>
  <c r="E155" i="30"/>
  <c r="G153" i="30"/>
  <c r="E153" i="30"/>
  <c r="G152" i="30"/>
  <c r="E152" i="30"/>
  <c r="G151" i="30"/>
  <c r="E151" i="30"/>
  <c r="G150" i="30"/>
  <c r="E150" i="30"/>
  <c r="G149" i="30"/>
  <c r="E149" i="30"/>
  <c r="L146" i="30"/>
  <c r="E146" i="30"/>
  <c r="L145" i="30"/>
  <c r="I145" i="30"/>
  <c r="G145" i="30"/>
  <c r="E145" i="30"/>
  <c r="AA144" i="30"/>
  <c r="L144" i="30"/>
  <c r="I144" i="30"/>
  <c r="G144" i="30"/>
  <c r="E144" i="30"/>
  <c r="AA143" i="30"/>
  <c r="AA142" i="30"/>
  <c r="AA141" i="30"/>
  <c r="G141" i="30"/>
  <c r="AA140" i="30"/>
  <c r="D139" i="30"/>
  <c r="M136" i="30"/>
  <c r="G136" i="30"/>
  <c r="E136" i="30"/>
  <c r="M135" i="30"/>
  <c r="G135" i="30"/>
  <c r="E135" i="30"/>
  <c r="M134" i="30"/>
  <c r="G134" i="30"/>
  <c r="E134" i="30"/>
  <c r="G133" i="30"/>
  <c r="M132" i="30"/>
  <c r="G132" i="30"/>
  <c r="E132" i="30"/>
  <c r="M129" i="30"/>
  <c r="I127" i="30"/>
  <c r="M124" i="30"/>
  <c r="K124" i="30"/>
  <c r="I124" i="30"/>
  <c r="G124" i="30"/>
  <c r="E124" i="30"/>
  <c r="K121" i="30"/>
  <c r="I121" i="30"/>
  <c r="G121" i="30"/>
  <c r="E121" i="30"/>
  <c r="C120" i="30"/>
  <c r="C119" i="30"/>
  <c r="C118" i="30"/>
  <c r="M115" i="30"/>
  <c r="K115" i="30"/>
  <c r="I115" i="30"/>
  <c r="G115" i="30"/>
  <c r="E115" i="30"/>
  <c r="K114" i="30"/>
  <c r="I114" i="30"/>
  <c r="G114" i="30"/>
  <c r="E114" i="30"/>
  <c r="K113" i="30"/>
  <c r="I113" i="30"/>
  <c r="G113" i="30"/>
  <c r="E113" i="30"/>
  <c r="G110" i="30"/>
  <c r="D108" i="30"/>
  <c r="E105" i="30"/>
  <c r="C104" i="30"/>
  <c r="E103" i="30"/>
  <c r="C101" i="30"/>
  <c r="C100" i="30" a="1"/>
  <c r="C100" i="30"/>
  <c r="C99" i="30"/>
  <c r="E97" i="30" a="1"/>
  <c r="E97" i="30"/>
  <c r="E93" i="30"/>
  <c r="E92" i="30"/>
  <c r="D92" i="30"/>
  <c r="C92" i="30"/>
  <c r="J90" i="30"/>
  <c r="E90" i="30"/>
  <c r="E89" i="30"/>
  <c r="J88" i="30"/>
  <c r="E88" i="30"/>
  <c r="J87" i="30"/>
  <c r="E87" i="30"/>
  <c r="J86" i="30"/>
  <c r="E86" i="30"/>
  <c r="J85" i="30"/>
  <c r="E85" i="30"/>
  <c r="E84" i="30"/>
  <c r="E83" i="30"/>
  <c r="E82" i="30"/>
  <c r="J81" i="30"/>
  <c r="E81" i="30"/>
  <c r="J80" i="30"/>
  <c r="E80" i="30"/>
  <c r="J79" i="30"/>
  <c r="J78" i="30"/>
  <c r="G75" i="30"/>
  <c r="D73" i="30"/>
  <c r="H69" i="30"/>
  <c r="H68" i="30"/>
  <c r="C67" i="30"/>
  <c r="B67" i="30"/>
  <c r="A67" i="30"/>
  <c r="C66" i="30"/>
  <c r="B66" i="30"/>
  <c r="A66" i="30"/>
  <c r="C65" i="30"/>
  <c r="C64" i="30"/>
  <c r="C63" i="30"/>
  <c r="C62" i="30"/>
  <c r="C61" i="30"/>
  <c r="C60" i="30"/>
  <c r="H57" i="30"/>
  <c r="H55" i="30"/>
  <c r="C54" i="30"/>
  <c r="H53" i="30"/>
  <c r="H52" i="30"/>
  <c r="H51" i="30"/>
  <c r="H48" i="30"/>
  <c r="F48" i="30"/>
  <c r="D48" i="30"/>
  <c r="H46" i="30"/>
  <c r="F46" i="30"/>
  <c r="D46" i="30"/>
  <c r="H45" i="30"/>
  <c r="F45" i="30"/>
  <c r="D45" i="30"/>
  <c r="H44" i="30"/>
  <c r="F44" i="30"/>
  <c r="D44" i="30"/>
  <c r="G41" i="30"/>
  <c r="D39" i="30"/>
  <c r="L38" i="30"/>
  <c r="I36" i="30"/>
  <c r="I35" i="30"/>
  <c r="H35" i="30"/>
  <c r="G35" i="30"/>
  <c r="E34" i="30"/>
  <c r="E33" i="30"/>
  <c r="D33" i="30"/>
  <c r="C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AA15" i="30"/>
  <c r="AA13" i="30"/>
  <c r="I13" i="30"/>
  <c r="I12" i="30"/>
  <c r="H12" i="30"/>
  <c r="G12" i="30"/>
  <c r="E11" i="30"/>
  <c r="E10" i="30"/>
  <c r="D10" i="30"/>
  <c r="C10" i="30"/>
  <c r="I9" i="30"/>
  <c r="H9" i="30"/>
  <c r="G9" i="30"/>
  <c r="F9" i="30"/>
  <c r="E9" i="30"/>
  <c r="D9" i="30"/>
  <c r="C9" i="30"/>
  <c r="I8" i="30"/>
  <c r="H8" i="30"/>
  <c r="G8" i="30"/>
  <c r="F8" i="30"/>
  <c r="E8" i="30"/>
  <c r="D8" i="30"/>
  <c r="C8" i="30"/>
  <c r="I7" i="30"/>
  <c r="H7" i="30"/>
  <c r="G7" i="30"/>
  <c r="F7" i="30"/>
  <c r="E7" i="30"/>
  <c r="D7" i="30"/>
  <c r="C7" i="30"/>
  <c r="G5" i="30"/>
  <c r="D3" i="30"/>
  <c r="L2" i="30"/>
  <c r="L1" i="30"/>
  <c r="G1" i="30"/>
  <c r="B1" i="30"/>
  <c r="R239" i="28"/>
  <c r="R238" i="28"/>
  <c r="R237" i="28"/>
  <c r="R236" i="28"/>
  <c r="R235" i="28"/>
  <c r="R234" i="28"/>
  <c r="R229" i="28"/>
  <c r="R228" i="28"/>
  <c r="R227" i="28"/>
  <c r="R226" i="28"/>
  <c r="R225" i="28"/>
  <c r="R223" i="28"/>
  <c r="R222" i="28"/>
  <c r="R221" i="28"/>
  <c r="R220" i="28"/>
  <c r="R219" i="28"/>
  <c r="R214" i="28"/>
  <c r="R213" i="28"/>
  <c r="R212" i="28"/>
  <c r="R211" i="28"/>
  <c r="R210" i="28"/>
  <c r="R209" i="28"/>
  <c r="R208" i="28"/>
  <c r="R204" i="28"/>
  <c r="R203" i="28"/>
  <c r="R201" i="28"/>
  <c r="Y194" i="28"/>
  <c r="Y193" i="28"/>
  <c r="Y192" i="28"/>
  <c r="R192" i="28"/>
  <c r="Y191" i="28"/>
  <c r="R191" i="28"/>
  <c r="Y190" i="28"/>
  <c r="R190" i="28"/>
  <c r="Y189" i="28"/>
  <c r="R189" i="28"/>
  <c r="R187" i="28"/>
  <c r="O186" i="28"/>
  <c r="O185" i="28"/>
  <c r="O184" i="28"/>
  <c r="O182" i="28"/>
  <c r="O180" i="28"/>
  <c r="R177" i="28"/>
  <c r="O176" i="28"/>
  <c r="O175" i="28"/>
  <c r="O174" i="28"/>
  <c r="O172" i="28"/>
  <c r="O170" i="28"/>
  <c r="R160" i="28"/>
  <c r="R159" i="28"/>
  <c r="R158" i="28"/>
  <c r="R157" i="28"/>
  <c r="R155" i="28"/>
  <c r="Z154" i="28"/>
  <c r="Y154" i="28"/>
  <c r="R154" i="28"/>
  <c r="O153" i="28"/>
  <c r="Z152" i="28"/>
  <c r="Y152" i="28"/>
  <c r="O152" i="28"/>
  <c r="O151" i="28"/>
  <c r="Z150" i="28"/>
  <c r="Y150" i="28"/>
  <c r="O150" i="28"/>
  <c r="Z149" i="28"/>
  <c r="Y149" i="28"/>
  <c r="O148" i="28"/>
  <c r="R144" i="28"/>
  <c r="Z143" i="28"/>
  <c r="Y143" i="28"/>
  <c r="R143" i="28"/>
  <c r="O142" i="28"/>
  <c r="Z141" i="28"/>
  <c r="Y141" i="28"/>
  <c r="O141" i="28"/>
  <c r="O140" i="28"/>
  <c r="Z139" i="28"/>
  <c r="Y139" i="28"/>
  <c r="O139" i="28"/>
  <c r="Z138" i="28"/>
  <c r="Y138" i="28"/>
  <c r="O137" i="28"/>
  <c r="R125" i="28"/>
  <c r="R124" i="28"/>
  <c r="R123" i="28"/>
  <c r="R122" i="28"/>
  <c r="O121" i="28"/>
  <c r="R120" i="28"/>
  <c r="R118" i="28"/>
  <c r="R115" i="28"/>
  <c r="O114" i="28"/>
  <c r="O113" i="28"/>
  <c r="O112" i="28"/>
  <c r="O111" i="28"/>
  <c r="R109" i="28"/>
  <c r="R108" i="28"/>
  <c r="R107" i="28"/>
  <c r="R104" i="28"/>
  <c r="R103" i="28"/>
  <c r="R102" i="28"/>
  <c r="R101" i="28"/>
  <c r="R100" i="28"/>
  <c r="O100" i="28"/>
  <c r="L100" i="28" a="1"/>
  <c r="L100" i="28"/>
  <c r="R99" i="28"/>
  <c r="O99" i="28"/>
  <c r="L99" i="28"/>
  <c r="R98" i="28"/>
  <c r="O98" i="28"/>
  <c r="L98" i="28"/>
  <c r="R97" i="28"/>
  <c r="O97" i="28"/>
  <c r="L97" i="28"/>
  <c r="R96" i="28"/>
  <c r="O96" i="28"/>
  <c r="L96" i="28"/>
  <c r="R91" i="28"/>
  <c r="N91" i="28"/>
  <c r="L91" i="28"/>
  <c r="R90" i="28"/>
  <c r="R89" i="28"/>
  <c r="R88" i="28"/>
  <c r="R87" i="28"/>
  <c r="R86" i="28"/>
  <c r="R85" i="28"/>
  <c r="R84" i="28"/>
  <c r="R83" i="28"/>
  <c r="O74" i="28"/>
  <c r="L74" i="28"/>
  <c r="O72" i="28"/>
  <c r="L72" i="28"/>
  <c r="O70" i="28"/>
  <c r="L70" i="28"/>
  <c r="O68" i="28"/>
  <c r="L68" i="28"/>
  <c r="O67" i="28"/>
  <c r="L67" i="28"/>
  <c r="O63" i="28"/>
  <c r="L63" i="28"/>
  <c r="O61" i="28"/>
  <c r="L61" i="28"/>
  <c r="O59" i="28"/>
  <c r="L59" i="28"/>
  <c r="O57" i="28"/>
  <c r="L57" i="28"/>
  <c r="O56" i="28"/>
  <c r="L56" i="28"/>
  <c r="O39" i="28"/>
  <c r="V38" i="28"/>
  <c r="U38" i="28"/>
  <c r="O38" i="28"/>
  <c r="V37" i="28"/>
  <c r="U37" i="28"/>
  <c r="V36" i="28"/>
  <c r="U36" i="28"/>
  <c r="V35" i="28"/>
  <c r="U35" i="28"/>
  <c r="L29" i="28"/>
  <c r="J29" i="28"/>
  <c r="I29" i="28"/>
  <c r="H29" i="28"/>
  <c r="L27" i="28"/>
  <c r="J27" i="28"/>
  <c r="I27" i="28"/>
  <c r="H27" i="28"/>
  <c r="L25" i="28"/>
  <c r="J25" i="28"/>
  <c r="I25" i="28"/>
  <c r="H25" i="28"/>
  <c r="L24" i="28"/>
  <c r="J24" i="28"/>
  <c r="I24" i="28"/>
  <c r="H24" i="28"/>
  <c r="L21" i="28"/>
  <c r="J21" i="28"/>
  <c r="I21" i="28"/>
  <c r="H21" i="28"/>
  <c r="L19" i="28"/>
  <c r="J19" i="28"/>
  <c r="I19" i="28"/>
  <c r="H19" i="28"/>
  <c r="L17" i="28"/>
  <c r="J17" i="28"/>
  <c r="I17" i="28"/>
  <c r="H17" i="28"/>
  <c r="L16" i="28"/>
  <c r="J16" i="28"/>
  <c r="I16" i="28"/>
  <c r="H16" i="28"/>
  <c r="O2" i="28"/>
  <c r="O1" i="28"/>
  <c r="I1" i="28"/>
  <c r="E1" i="28"/>
  <c r="K118" i="27"/>
  <c r="Q113" i="27"/>
  <c r="L101" i="27"/>
  <c r="M95" i="27"/>
  <c r="AA91" i="27"/>
  <c r="AA90" i="27"/>
  <c r="L69" i="27"/>
  <c r="L65" i="27"/>
  <c r="I56" i="27"/>
  <c r="H56" i="27"/>
  <c r="G56" i="27"/>
  <c r="G42" i="27"/>
  <c r="J34" i="27"/>
  <c r="I34" i="27"/>
  <c r="H34" i="27"/>
  <c r="G34" i="27"/>
  <c r="J33" i="27"/>
  <c r="J32" i="27"/>
  <c r="K31" i="27"/>
  <c r="J31" i="27"/>
  <c r="Z29" i="27"/>
  <c r="Y29" i="27"/>
  <c r="J29" i="27"/>
  <c r="K28" i="27"/>
  <c r="L5" i="27"/>
  <c r="L2" i="27"/>
  <c r="L1" i="27"/>
  <c r="I1" i="27"/>
  <c r="E1" i="27"/>
  <c r="Q30" i="31"/>
  <c r="P30" i="31"/>
  <c r="O30" i="31"/>
  <c r="N30" i="31"/>
  <c r="M30" i="31"/>
  <c r="L30" i="31"/>
  <c r="K30" i="31"/>
  <c r="J30" i="31"/>
  <c r="I30" i="31"/>
  <c r="H30" i="31"/>
  <c r="G30" i="31"/>
  <c r="F30" i="31"/>
  <c r="E30" i="31"/>
  <c r="D30" i="31"/>
  <c r="C30" i="31"/>
  <c r="Q29" i="31"/>
  <c r="Q28" i="31"/>
  <c r="L28" i="31"/>
  <c r="K28" i="31"/>
  <c r="J28" i="31"/>
  <c r="I28" i="31"/>
  <c r="H28" i="31"/>
  <c r="G28" i="31"/>
  <c r="F28" i="31"/>
  <c r="C28" i="31"/>
  <c r="Q27" i="31"/>
  <c r="Q26" i="31"/>
  <c r="Q23" i="31"/>
  <c r="P23" i="31"/>
  <c r="O23" i="31"/>
  <c r="N23" i="31"/>
  <c r="M23" i="31"/>
  <c r="L23" i="31"/>
  <c r="K23" i="31"/>
  <c r="J23" i="31"/>
  <c r="I23" i="31"/>
  <c r="H23" i="31"/>
  <c r="G23" i="31"/>
  <c r="F23" i="31"/>
  <c r="E23" i="31"/>
  <c r="D23" i="31"/>
  <c r="C23" i="31"/>
  <c r="Q22" i="31"/>
  <c r="L22" i="31"/>
  <c r="K22" i="31"/>
  <c r="J22" i="31"/>
  <c r="I22" i="31"/>
  <c r="H22" i="31"/>
  <c r="G22" i="31"/>
  <c r="F22" i="31"/>
  <c r="C22" i="31"/>
  <c r="Q21" i="31"/>
  <c r="Q20" i="31"/>
  <c r="Q19" i="31"/>
  <c r="Q18" i="31"/>
  <c r="Q17" i="31"/>
  <c r="P17" i="31"/>
  <c r="O17" i="31"/>
  <c r="N17" i="31"/>
  <c r="M17" i="31"/>
  <c r="L17" i="31"/>
  <c r="K17" i="31"/>
  <c r="J17" i="31"/>
  <c r="I17" i="31"/>
  <c r="H17" i="31"/>
  <c r="G17" i="31"/>
  <c r="F17" i="31"/>
  <c r="E17" i="31"/>
  <c r="D17" i="31"/>
  <c r="C17" i="31"/>
  <c r="Q15" i="31"/>
  <c r="C15" i="31"/>
  <c r="Q14" i="31"/>
  <c r="J14" i="31"/>
  <c r="F14" i="31"/>
  <c r="Q10" i="31"/>
  <c r="J10" i="31"/>
  <c r="F10" i="31"/>
  <c r="C10" i="31"/>
  <c r="F1" i="31"/>
  <c r="C1" i="31"/>
  <c r="I38" i="15"/>
  <c r="I37" i="15"/>
  <c r="I36" i="15"/>
  <c r="I34" i="15"/>
  <c r="L31" i="15"/>
  <c r="L29" i="15"/>
  <c r="I29" i="15"/>
  <c r="I26" i="15"/>
  <c r="I24" i="15"/>
  <c r="I23" i="15"/>
  <c r="G22" i="15"/>
  <c r="I19" i="15"/>
  <c r="G18" i="15"/>
  <c r="L14" i="15"/>
  <c r="I14" i="15"/>
  <c r="L13" i="15"/>
  <c r="L12" i="15"/>
  <c r="I12" i="15"/>
  <c r="L11" i="15"/>
  <c r="I7" i="15"/>
  <c r="F6" i="15"/>
  <c r="I5" i="15" a="1"/>
  <c r="I5" i="15"/>
  <c r="L2" i="15"/>
  <c r="L1" i="15"/>
  <c r="E1" i="15"/>
  <c r="F51" i="14"/>
  <c r="F50" i="14"/>
  <c r="H47" i="14"/>
  <c r="F47" i="14"/>
  <c r="E47" i="14"/>
  <c r="D47" i="14"/>
  <c r="H46" i="14"/>
  <c r="F46" i="14"/>
  <c r="E46" i="14"/>
  <c r="D46" i="14"/>
  <c r="H45" i="14"/>
  <c r="F45" i="14"/>
  <c r="H44" i="14"/>
  <c r="F44" i="14"/>
  <c r="H43" i="14"/>
  <c r="F43" i="14"/>
  <c r="H41" i="14"/>
  <c r="F41" i="14"/>
  <c r="E41" i="14"/>
  <c r="D41" i="14"/>
  <c r="H40" i="14"/>
  <c r="F40" i="14"/>
  <c r="H39" i="14"/>
  <c r="F39" i="14"/>
  <c r="H38" i="14"/>
  <c r="F38" i="14"/>
  <c r="N36" i="14"/>
  <c r="M36" i="14"/>
  <c r="L36" i="14"/>
  <c r="N35" i="14"/>
  <c r="M35" i="14"/>
  <c r="L35" i="14"/>
  <c r="N34" i="14"/>
  <c r="M34" i="14"/>
  <c r="N33" i="14"/>
  <c r="M33" i="14"/>
  <c r="L33" i="14"/>
  <c r="F33" i="14"/>
  <c r="E33" i="14"/>
  <c r="D33" i="14"/>
  <c r="N32" i="14"/>
  <c r="M32" i="14"/>
  <c r="L32" i="14"/>
  <c r="E32" i="14"/>
  <c r="D32" i="14" a="1"/>
  <c r="D32" i="14"/>
  <c r="N31" i="14"/>
  <c r="M31" i="14"/>
  <c r="E31" i="14"/>
  <c r="D31" i="14"/>
  <c r="N30" i="14"/>
  <c r="M30" i="14"/>
  <c r="E30" i="14"/>
  <c r="D30" i="14"/>
  <c r="N29" i="14"/>
  <c r="M29" i="14"/>
  <c r="E29" i="14"/>
  <c r="D29" i="14"/>
  <c r="N28" i="14"/>
  <c r="M28" i="14"/>
  <c r="E28" i="14"/>
  <c r="D28" i="14"/>
  <c r="N27" i="14"/>
  <c r="M27" i="14"/>
  <c r="E27" i="14"/>
  <c r="D27" i="14"/>
  <c r="N26" i="14"/>
  <c r="M26" i="14"/>
  <c r="E26" i="14"/>
  <c r="D26" i="14"/>
  <c r="N25" i="14"/>
  <c r="M25" i="14"/>
  <c r="E25" i="14"/>
  <c r="D25" i="14"/>
  <c r="N24" i="14"/>
  <c r="M24" i="14"/>
  <c r="N23" i="14"/>
  <c r="M23" i="14"/>
  <c r="N22" i="14"/>
  <c r="M22" i="14"/>
  <c r="N21" i="14"/>
  <c r="M21" i="14"/>
  <c r="N20" i="14"/>
  <c r="M20" i="14"/>
  <c r="C20" i="14"/>
  <c r="N19" i="14"/>
  <c r="M19" i="14"/>
  <c r="F19" i="14"/>
  <c r="E19" i="14"/>
  <c r="D19" i="14"/>
  <c r="C19" i="14"/>
  <c r="N18" i="14"/>
  <c r="M18" i="14"/>
  <c r="D18" i="14"/>
  <c r="C18" i="14"/>
  <c r="E18" i="14" s="1"/>
  <c r="N17" i="14"/>
  <c r="M17" i="14"/>
  <c r="D17" i="14"/>
  <c r="C17" i="14"/>
  <c r="N16" i="14"/>
  <c r="M16" i="14"/>
  <c r="G16" i="14"/>
  <c r="F16" i="14"/>
  <c r="E16" i="14"/>
  <c r="D16" i="14"/>
  <c r="C16" i="14"/>
  <c r="N15" i="14"/>
  <c r="M15" i="14"/>
  <c r="F15" i="14"/>
  <c r="E15" i="14"/>
  <c r="D15" i="14"/>
  <c r="C15" i="14"/>
  <c r="N14" i="14"/>
  <c r="M14" i="14"/>
  <c r="F14" i="14"/>
  <c r="E14" i="14"/>
  <c r="D14" i="14"/>
  <c r="C14" i="14"/>
  <c r="N13" i="14"/>
  <c r="M13" i="14"/>
  <c r="F13" i="14"/>
  <c r="E13" i="14"/>
  <c r="D13" i="14"/>
  <c r="C13" i="14"/>
  <c r="N12" i="14"/>
  <c r="M12" i="14"/>
  <c r="N11" i="14"/>
  <c r="M11" i="14"/>
  <c r="N10" i="14"/>
  <c r="M10" i="14"/>
  <c r="F10" i="14"/>
  <c r="E10" i="14"/>
  <c r="D10" i="14"/>
  <c r="C10" i="14"/>
  <c r="N9" i="14"/>
  <c r="M9" i="14"/>
  <c r="F9" i="14"/>
  <c r="E9" i="14"/>
  <c r="D9" i="14"/>
  <c r="C9" i="14"/>
  <c r="N8" i="14"/>
  <c r="M8" i="14"/>
  <c r="F8" i="14"/>
  <c r="E8" i="14"/>
  <c r="D8" i="14"/>
  <c r="C8" i="14"/>
  <c r="N7" i="14"/>
  <c r="M7" i="14"/>
  <c r="F7" i="14"/>
  <c r="E7" i="14"/>
  <c r="D7" i="14"/>
  <c r="C7" i="14"/>
  <c r="N6" i="14"/>
  <c r="M6" i="14"/>
  <c r="F6" i="14"/>
  <c r="E6" i="14"/>
  <c r="D6" i="14"/>
  <c r="C6" i="14"/>
  <c r="N5" i="14"/>
  <c r="M5" i="14"/>
  <c r="G4" i="14"/>
  <c r="I2" i="14"/>
  <c r="I1" i="14"/>
  <c r="A1" i="14"/>
  <c r="I63" i="13"/>
  <c r="H63" i="13"/>
  <c r="G63" i="13"/>
  <c r="F63" i="13"/>
  <c r="E63" i="13"/>
  <c r="D63" i="13"/>
  <c r="C63" i="13"/>
  <c r="H62" i="13"/>
  <c r="G62" i="13"/>
  <c r="I61" i="13"/>
  <c r="H61" i="13"/>
  <c r="G61" i="13"/>
  <c r="F61" i="13"/>
  <c r="E61" i="13"/>
  <c r="D61" i="13"/>
  <c r="C61" i="13"/>
  <c r="I60" i="13"/>
  <c r="H60" i="13"/>
  <c r="G60" i="13"/>
  <c r="F60" i="13"/>
  <c r="E60" i="13"/>
  <c r="D60" i="13"/>
  <c r="C60" i="13"/>
  <c r="I59" i="13"/>
  <c r="H59" i="13"/>
  <c r="G59" i="13"/>
  <c r="F59" i="13"/>
  <c r="E59" i="13"/>
  <c r="D59" i="13"/>
  <c r="C59" i="13"/>
  <c r="I57" i="13"/>
  <c r="H57" i="13"/>
  <c r="G57" i="13"/>
  <c r="F57" i="13"/>
  <c r="E57" i="13"/>
  <c r="D57" i="13"/>
  <c r="C57" i="13"/>
  <c r="I56" i="13"/>
  <c r="H56" i="13"/>
  <c r="G56" i="13"/>
  <c r="F56" i="13"/>
  <c r="E56" i="13"/>
  <c r="D56" i="13"/>
  <c r="C56" i="13"/>
  <c r="I55" i="13"/>
  <c r="H55" i="13"/>
  <c r="G55" i="13"/>
  <c r="F55" i="13"/>
  <c r="E55" i="13"/>
  <c r="D55" i="13"/>
  <c r="C55" i="13"/>
  <c r="I54" i="13"/>
  <c r="H54" i="13"/>
  <c r="G54" i="13"/>
  <c r="F54" i="13"/>
  <c r="E54" i="13"/>
  <c r="D54" i="13"/>
  <c r="C54" i="13"/>
  <c r="I53" i="13"/>
  <c r="H53" i="13"/>
  <c r="G53" i="13"/>
  <c r="F53" i="13"/>
  <c r="E53" i="13"/>
  <c r="D53" i="13"/>
  <c r="C53" i="13"/>
  <c r="I52" i="13"/>
  <c r="H52" i="13"/>
  <c r="G52" i="13"/>
  <c r="F52" i="13"/>
  <c r="E52" i="13"/>
  <c r="D52" i="13"/>
  <c r="C52" i="13"/>
  <c r="I51" i="13"/>
  <c r="H51" i="13"/>
  <c r="G51" i="13"/>
  <c r="F51" i="13"/>
  <c r="E51" i="13"/>
  <c r="D51" i="13"/>
  <c r="C51" i="13"/>
  <c r="I50" i="13"/>
  <c r="H50" i="13"/>
  <c r="G50" i="13"/>
  <c r="F50" i="13"/>
  <c r="E50" i="13"/>
  <c r="D50" i="13"/>
  <c r="C50" i="13"/>
  <c r="I49" i="13"/>
  <c r="H49" i="13"/>
  <c r="G49" i="13"/>
  <c r="F49" i="13"/>
  <c r="E49" i="13"/>
  <c r="D49" i="13"/>
  <c r="C49" i="13"/>
  <c r="I48" i="13"/>
  <c r="H48" i="13"/>
  <c r="G48" i="13"/>
  <c r="F48" i="13"/>
  <c r="E48" i="13"/>
  <c r="D48" i="13"/>
  <c r="C48" i="13"/>
  <c r="I46" i="13"/>
  <c r="H46" i="13"/>
  <c r="G46" i="13"/>
  <c r="F46" i="13"/>
  <c r="E46" i="13"/>
  <c r="D46" i="13"/>
  <c r="C46" i="13"/>
  <c r="I44" i="13"/>
  <c r="H44" i="13"/>
  <c r="G44" i="13"/>
  <c r="F44" i="13"/>
  <c r="E44" i="13"/>
  <c r="D44" i="13"/>
  <c r="C44" i="13"/>
  <c r="I43" i="13"/>
  <c r="H43" i="13"/>
  <c r="G43" i="13"/>
  <c r="F43" i="13"/>
  <c r="E43" i="13"/>
  <c r="D43" i="13"/>
  <c r="C43" i="13"/>
  <c r="I42" i="13"/>
  <c r="H42" i="13"/>
  <c r="G42" i="13"/>
  <c r="F42" i="13"/>
  <c r="E42" i="13"/>
  <c r="D42" i="13"/>
  <c r="C42" i="13"/>
  <c r="I41" i="13"/>
  <c r="H41" i="13"/>
  <c r="G41" i="13"/>
  <c r="F41" i="13"/>
  <c r="E41" i="13"/>
  <c r="D41" i="13"/>
  <c r="C41" i="13"/>
  <c r="I40" i="13"/>
  <c r="H40" i="13"/>
  <c r="G40" i="13"/>
  <c r="F40" i="13"/>
  <c r="E40" i="13"/>
  <c r="D40" i="13"/>
  <c r="C40" i="13"/>
  <c r="I39" i="13"/>
  <c r="H39" i="13"/>
  <c r="G39" i="13"/>
  <c r="F39" i="13"/>
  <c r="E39" i="13"/>
  <c r="D39" i="13"/>
  <c r="C39" i="13"/>
  <c r="I38" i="13"/>
  <c r="H38" i="13"/>
  <c r="G38" i="13"/>
  <c r="F38" i="13"/>
  <c r="E38" i="13"/>
  <c r="D38" i="13"/>
  <c r="C38" i="13"/>
  <c r="I37" i="13"/>
  <c r="H37" i="13"/>
  <c r="G37" i="13"/>
  <c r="F37" i="13"/>
  <c r="E37" i="13"/>
  <c r="D37" i="13"/>
  <c r="C37" i="13"/>
  <c r="I36" i="13"/>
  <c r="H36" i="13"/>
  <c r="G36" i="13"/>
  <c r="F36" i="13"/>
  <c r="E36" i="13"/>
  <c r="D36" i="13"/>
  <c r="C36" i="13"/>
  <c r="I35" i="13"/>
  <c r="H35" i="13"/>
  <c r="G35" i="13"/>
  <c r="F35" i="13"/>
  <c r="E35" i="13"/>
  <c r="D35" i="13"/>
  <c r="C35" i="13"/>
  <c r="I33" i="13"/>
  <c r="H33" i="13"/>
  <c r="G33" i="13"/>
  <c r="F33" i="13"/>
  <c r="E33" i="13"/>
  <c r="D33" i="13"/>
  <c r="C33" i="13"/>
  <c r="D24" i="13"/>
  <c r="C24" i="13"/>
  <c r="B24" i="13"/>
  <c r="D23" i="13"/>
  <c r="C23" i="13"/>
  <c r="B23" i="13"/>
  <c r="D22" i="13"/>
  <c r="C22" i="13"/>
  <c r="B22" i="13"/>
  <c r="D19" i="13"/>
  <c r="C19" i="13"/>
  <c r="D16" i="13"/>
  <c r="C16" i="13"/>
  <c r="E15" i="13"/>
  <c r="I13" i="13"/>
  <c r="I12" i="13"/>
  <c r="D12" i="13"/>
  <c r="C12" i="13"/>
  <c r="I11" i="13"/>
  <c r="I10" i="13"/>
  <c r="K5" i="13"/>
  <c r="I5" i="13"/>
  <c r="I4" i="13"/>
  <c r="H4" i="13"/>
  <c r="G4" i="13"/>
  <c r="F4" i="13"/>
  <c r="E4" i="13"/>
  <c r="D4" i="13"/>
  <c r="C4" i="13"/>
  <c r="A4" i="13"/>
  <c r="I2" i="13"/>
  <c r="I1" i="13"/>
  <c r="A1" i="13"/>
  <c r="N30" i="17"/>
  <c r="M30" i="17"/>
  <c r="L30" i="17"/>
  <c r="K30" i="17"/>
  <c r="I30" i="17"/>
  <c r="H30" i="17"/>
  <c r="G30" i="17"/>
  <c r="F30" i="17"/>
  <c r="E30" i="17"/>
  <c r="D30" i="17"/>
  <c r="N29" i="17"/>
  <c r="M29" i="17"/>
  <c r="L29" i="17"/>
  <c r="D29" i="17"/>
  <c r="N28" i="17"/>
  <c r="M28" i="17"/>
  <c r="L28" i="17"/>
  <c r="D28" i="17"/>
  <c r="N27" i="17"/>
  <c r="M27" i="17"/>
  <c r="L27" i="17"/>
  <c r="D27" i="17"/>
  <c r="N26" i="17"/>
  <c r="M26" i="17"/>
  <c r="L26" i="17"/>
  <c r="D26" i="17"/>
  <c r="N25" i="17"/>
  <c r="M25" i="17"/>
  <c r="L25" i="17"/>
  <c r="D25" i="17"/>
  <c r="N24" i="17"/>
  <c r="M24" i="17"/>
  <c r="L24" i="17"/>
  <c r="D24" i="17"/>
  <c r="N23" i="17"/>
  <c r="M23" i="17"/>
  <c r="L23" i="17"/>
  <c r="D23" i="17"/>
  <c r="N22" i="17"/>
  <c r="M22" i="17"/>
  <c r="L22" i="17"/>
  <c r="D22" i="17"/>
  <c r="N20" i="17"/>
  <c r="M20" i="17"/>
  <c r="L20" i="17"/>
  <c r="D20" i="17"/>
  <c r="N18" i="17"/>
  <c r="M18" i="17"/>
  <c r="L18" i="17"/>
  <c r="K18" i="17"/>
  <c r="I18" i="17"/>
  <c r="H18" i="17"/>
  <c r="G18" i="17"/>
  <c r="F18" i="17"/>
  <c r="E18" i="17"/>
  <c r="D18" i="17"/>
  <c r="N17" i="17"/>
  <c r="M17" i="17"/>
  <c r="L17" i="17"/>
  <c r="D17" i="17"/>
  <c r="N16" i="17"/>
  <c r="M16" i="17"/>
  <c r="L16" i="17"/>
  <c r="D16" i="17"/>
  <c r="N15" i="17"/>
  <c r="M15" i="17"/>
  <c r="L15" i="17"/>
  <c r="D15" i="17"/>
  <c r="N14" i="17"/>
  <c r="M14" i="17"/>
  <c r="L14" i="17"/>
  <c r="D14" i="17"/>
  <c r="N13" i="17"/>
  <c r="M13" i="17"/>
  <c r="L13" i="17"/>
  <c r="D13" i="17"/>
  <c r="N12" i="17"/>
  <c r="M12" i="17"/>
  <c r="L12" i="17"/>
  <c r="D12" i="17"/>
  <c r="N11" i="17"/>
  <c r="M11" i="17"/>
  <c r="L11" i="17"/>
  <c r="D11" i="17"/>
  <c r="N10" i="17"/>
  <c r="M10" i="17"/>
  <c r="L10" i="17"/>
  <c r="D10" i="17"/>
  <c r="N8" i="17"/>
  <c r="M8" i="17"/>
  <c r="L8" i="17"/>
  <c r="D8" i="17"/>
  <c r="M6" i="17"/>
  <c r="L6" i="17"/>
  <c r="N1" i="17"/>
  <c r="K1" i="17"/>
  <c r="G1" i="17"/>
  <c r="B1" i="17"/>
  <c r="K30" i="19"/>
  <c r="K28" i="19"/>
  <c r="L24" i="19"/>
  <c r="K18" i="19"/>
  <c r="H18" i="19"/>
  <c r="G18" i="19"/>
  <c r="K16" i="19"/>
  <c r="K14" i="19"/>
  <c r="K13" i="19"/>
  <c r="K11" i="19"/>
  <c r="K8" i="19"/>
  <c r="K2" i="19"/>
  <c r="K1" i="19"/>
  <c r="G1" i="19"/>
  <c r="E1" i="19"/>
  <c r="M56" i="8"/>
  <c r="J54" i="8"/>
  <c r="J41" i="8"/>
  <c r="N37" i="8"/>
  <c r="J35" i="8"/>
  <c r="O22" i="8"/>
  <c r="J19" i="8"/>
  <c r="M17" i="8"/>
  <c r="H17" i="8"/>
  <c r="N15" i="8"/>
  <c r="H15" i="8"/>
  <c r="H14" i="8"/>
  <c r="M10" i="8"/>
  <c r="J10" i="8"/>
  <c r="H10" i="8"/>
  <c r="N9" i="8"/>
  <c r="M2" i="8"/>
  <c r="M1" i="8"/>
  <c r="G1" i="8"/>
  <c r="D1" i="8"/>
  <c r="J47" i="7"/>
  <c r="I47" i="7"/>
  <c r="I46" i="7" a="1"/>
  <c r="I46" i="7"/>
  <c r="I45" i="7" a="1"/>
  <c r="I45" i="7"/>
  <c r="I44" i="7" a="1"/>
  <c r="I44" i="7"/>
  <c r="S43" i="7"/>
  <c r="I43" i="7" a="1"/>
  <c r="I43" i="7"/>
  <c r="S42" i="7"/>
  <c r="S41" i="7"/>
  <c r="S40" i="7"/>
  <c r="G40" i="7"/>
  <c r="F40" i="7"/>
  <c r="J39" i="7"/>
  <c r="D12" i="14" s="1"/>
  <c r="I39" i="7"/>
  <c r="C12" i="14" s="1"/>
  <c r="G39" i="7"/>
  <c r="F39" i="7"/>
  <c r="F38" i="7"/>
  <c r="S37" i="7"/>
  <c r="I37" i="7"/>
  <c r="F37" i="7"/>
  <c r="S36" i="7"/>
  <c r="I36" i="7" a="1"/>
  <c r="I36" i="7"/>
  <c r="F36" i="7" a="1"/>
  <c r="F36" i="7"/>
  <c r="S35" i="7"/>
  <c r="I35" i="7"/>
  <c r="F35" i="7"/>
  <c r="I34" i="7"/>
  <c r="F34" i="7"/>
  <c r="I33" i="7"/>
  <c r="F33" i="7"/>
  <c r="S32" i="7"/>
  <c r="I32" i="7"/>
  <c r="F32" i="7"/>
  <c r="S31" i="7"/>
  <c r="I31" i="7"/>
  <c r="F31" i="7"/>
  <c r="I30" i="7"/>
  <c r="F30" i="7"/>
  <c r="S29" i="7"/>
  <c r="I29" i="7"/>
  <c r="F29" i="7"/>
  <c r="S28" i="7"/>
  <c r="S27" i="7"/>
  <c r="G27" i="7"/>
  <c r="F27" i="7"/>
  <c r="S26" i="7"/>
  <c r="I26" i="7"/>
  <c r="F26" i="7"/>
  <c r="J25" i="7"/>
  <c r="F25" i="7"/>
  <c r="J24" i="7"/>
  <c r="F24" i="7"/>
  <c r="S23" i="7"/>
  <c r="J23" i="7"/>
  <c r="F23" i="7"/>
  <c r="J22" i="7"/>
  <c r="I22" i="7"/>
  <c r="F22" i="7"/>
  <c r="T21" i="7"/>
  <c r="J21" i="7"/>
  <c r="I21" i="7"/>
  <c r="F21" i="7"/>
  <c r="J20" i="7"/>
  <c r="F20" i="7"/>
  <c r="J19" i="7"/>
  <c r="I19" i="7"/>
  <c r="F19" i="7"/>
  <c r="J18" i="7"/>
  <c r="I18" i="7"/>
  <c r="F18" i="7"/>
  <c r="S17" i="7"/>
  <c r="J17" i="7"/>
  <c r="I17" i="7"/>
  <c r="F17" i="7"/>
  <c r="T16" i="7"/>
  <c r="J16" i="7"/>
  <c r="I16" i="7"/>
  <c r="F16" i="7"/>
  <c r="S15" i="7"/>
  <c r="J15" i="7"/>
  <c r="F15" i="7"/>
  <c r="J14" i="7"/>
  <c r="F14" i="7"/>
  <c r="J13" i="7"/>
  <c r="I13" i="7"/>
  <c r="F13" i="7"/>
  <c r="J12" i="7"/>
  <c r="I12" i="7"/>
  <c r="F12" i="7"/>
  <c r="J11" i="7"/>
  <c r="F11" i="7"/>
  <c r="F10" i="7"/>
  <c r="T9" i="7"/>
  <c r="D20" i="14" s="1"/>
  <c r="E20" i="14" s="1"/>
  <c r="J9" i="7"/>
  <c r="F9" i="7"/>
  <c r="J8" i="7"/>
  <c r="I8" i="7"/>
  <c r="F8" i="7"/>
  <c r="T7" i="7"/>
  <c r="S7" i="7"/>
  <c r="J7" i="7"/>
  <c r="F7" i="7"/>
  <c r="T6" i="7"/>
  <c r="S6" i="7"/>
  <c r="S5" i="7"/>
  <c r="T1" i="7"/>
  <c r="P1" i="7"/>
  <c r="J1" i="7"/>
  <c r="D1" i="7"/>
  <c r="A30" i="23"/>
  <c r="K27" i="23"/>
  <c r="I27" i="23"/>
  <c r="G27" i="23"/>
  <c r="E27" i="23"/>
  <c r="K26" i="23"/>
  <c r="J26" i="23"/>
  <c r="I26" i="23"/>
  <c r="H26" i="23"/>
  <c r="G26" i="23"/>
  <c r="F26" i="23"/>
  <c r="E26" i="23"/>
  <c r="D26" i="23"/>
  <c r="J25" i="23"/>
  <c r="H25" i="23"/>
  <c r="F25" i="23"/>
  <c r="D25" i="23"/>
  <c r="J24" i="23"/>
  <c r="H24" i="23"/>
  <c r="F24" i="23"/>
  <c r="D24" i="23"/>
  <c r="J23" i="23"/>
  <c r="F23" i="23"/>
  <c r="D23" i="23"/>
  <c r="K21" i="23"/>
  <c r="J21" i="23"/>
  <c r="I21" i="23"/>
  <c r="H21" i="23"/>
  <c r="G21" i="23"/>
  <c r="F21" i="23"/>
  <c r="E21" i="23"/>
  <c r="D21" i="23"/>
  <c r="J20" i="23"/>
  <c r="H20" i="23"/>
  <c r="F20" i="23"/>
  <c r="D20" i="23"/>
  <c r="J19" i="23"/>
  <c r="H19" i="23"/>
  <c r="F19" i="23"/>
  <c r="D19" i="23"/>
  <c r="J18" i="23"/>
  <c r="H18" i="23"/>
  <c r="F18" i="23"/>
  <c r="E18" i="23"/>
  <c r="D18" i="23"/>
  <c r="J17" i="23"/>
  <c r="H17" i="23"/>
  <c r="F17" i="23"/>
  <c r="E17" i="23"/>
  <c r="D17" i="23"/>
  <c r="J16" i="23"/>
  <c r="H16" i="23"/>
  <c r="F16" i="23"/>
  <c r="E16" i="23"/>
  <c r="D16" i="23"/>
  <c r="J15" i="23"/>
  <c r="H15" i="23"/>
  <c r="F15" i="23"/>
  <c r="D15" i="23"/>
  <c r="J14" i="23"/>
  <c r="H14" i="23"/>
  <c r="F14" i="23"/>
  <c r="D14" i="23"/>
  <c r="J13" i="23"/>
  <c r="H13" i="23"/>
  <c r="F13" i="23"/>
  <c r="D13" i="23"/>
  <c r="J12" i="23"/>
  <c r="H12" i="23"/>
  <c r="F12" i="23"/>
  <c r="D12" i="23"/>
  <c r="J11" i="23"/>
  <c r="H11" i="23"/>
  <c r="F11" i="23"/>
  <c r="D11" i="23"/>
  <c r="J10" i="23"/>
  <c r="H10" i="23"/>
  <c r="F10" i="23"/>
  <c r="D10" i="23"/>
  <c r="J8" i="23"/>
  <c r="H8" i="23"/>
  <c r="F8" i="23"/>
  <c r="E8" i="23"/>
  <c r="D8" i="23"/>
  <c r="N1" i="23"/>
  <c r="K1" i="23"/>
  <c r="H1" i="23"/>
  <c r="B1" i="23"/>
  <c r="B32" i="5"/>
  <c r="F22" i="5"/>
  <c r="M21" i="5"/>
  <c r="L21" i="5"/>
  <c r="K21" i="5"/>
  <c r="J21" i="5"/>
  <c r="I21" i="5"/>
  <c r="H21" i="5"/>
  <c r="G21" i="5"/>
  <c r="F21" i="5"/>
  <c r="E21" i="5"/>
  <c r="D21" i="5"/>
  <c r="K20" i="5"/>
  <c r="M19" i="5"/>
  <c r="L19" i="5"/>
  <c r="K19" i="5"/>
  <c r="J19" i="5"/>
  <c r="I19" i="5"/>
  <c r="H19" i="5"/>
  <c r="G19" i="5"/>
  <c r="F19" i="5"/>
  <c r="E19" i="5"/>
  <c r="D19" i="5"/>
  <c r="M18" i="5"/>
  <c r="L18" i="5"/>
  <c r="K18" i="5"/>
  <c r="M17" i="5"/>
  <c r="L17" i="5"/>
  <c r="K17" i="5"/>
  <c r="M16" i="5"/>
  <c r="L16" i="5"/>
  <c r="K16" i="5"/>
  <c r="M15" i="5"/>
  <c r="L15" i="5"/>
  <c r="K15" i="5"/>
  <c r="M14" i="5"/>
  <c r="L14" i="5"/>
  <c r="K14" i="5"/>
  <c r="M13" i="5"/>
  <c r="L13" i="5"/>
  <c r="K13" i="5"/>
  <c r="M12" i="5"/>
  <c r="L12" i="5"/>
  <c r="K12" i="5"/>
  <c r="M10" i="5"/>
  <c r="L10" i="5"/>
  <c r="K10" i="5"/>
  <c r="M8" i="5"/>
  <c r="L8" i="5"/>
  <c r="K8" i="5"/>
  <c r="L7" i="5"/>
  <c r="K7" i="5"/>
  <c r="N1" i="5"/>
  <c r="L1" i="5"/>
  <c r="H1" i="5"/>
  <c r="B1" i="5"/>
  <c r="D39" i="29"/>
  <c r="D36" i="29"/>
  <c r="B36" i="29"/>
  <c r="D34" i="29"/>
  <c r="E33" i="29"/>
  <c r="D33" i="29"/>
  <c r="D32" i="29" a="1"/>
  <c r="D32" i="29"/>
  <c r="L17" i="29"/>
  <c r="L16" i="29"/>
  <c r="K16" i="29"/>
  <c r="J16" i="29"/>
  <c r="I16" i="29"/>
  <c r="H16" i="29"/>
  <c r="G16" i="29"/>
  <c r="F16" i="29"/>
  <c r="E16" i="29"/>
  <c r="D16" i="29"/>
  <c r="J15" i="29" a="1"/>
  <c r="J15" i="29"/>
  <c r="L14" i="29"/>
  <c r="K14" i="29"/>
  <c r="J14" i="29"/>
  <c r="I14" i="29"/>
  <c r="H14" i="29"/>
  <c r="G14" i="29"/>
  <c r="F14" i="29"/>
  <c r="E14" i="29"/>
  <c r="D14" i="29"/>
  <c r="K13" i="29"/>
  <c r="J13" i="29" a="1"/>
  <c r="J13" i="29"/>
  <c r="K12" i="29"/>
  <c r="J12" i="29" a="1"/>
  <c r="J12" i="29"/>
  <c r="L11" i="29"/>
  <c r="K11" i="29"/>
  <c r="J11" i="29" a="1"/>
  <c r="J11" i="29"/>
  <c r="L10" i="29"/>
  <c r="K10" i="29"/>
  <c r="J10" i="29" a="1"/>
  <c r="J10" i="29"/>
  <c r="L9" i="29"/>
  <c r="K9" i="29"/>
  <c r="J9" i="29" a="1"/>
  <c r="J9" i="29"/>
  <c r="L8" i="29"/>
  <c r="K8" i="29"/>
  <c r="J8" i="29" a="1"/>
  <c r="J8" i="29"/>
  <c r="L7" i="29"/>
  <c r="K7" i="29"/>
  <c r="J7" i="29" a="1"/>
  <c r="J7" i="29"/>
  <c r="L6" i="29"/>
  <c r="K6" i="29"/>
  <c r="J6" i="29" a="1"/>
  <c r="J6" i="29"/>
  <c r="E6" i="29"/>
  <c r="D6" i="29"/>
  <c r="K5" i="29"/>
  <c r="J5" i="29"/>
  <c r="N1" i="29"/>
  <c r="K1" i="29"/>
  <c r="G1" i="29"/>
  <c r="B1" i="29"/>
  <c r="G24" i="3"/>
  <c r="G23" i="3"/>
  <c r="F19" i="3" a="1"/>
  <c r="F19" i="3"/>
  <c r="G16" i="3"/>
  <c r="F16" i="3"/>
  <c r="I14" i="3"/>
  <c r="F14" i="3"/>
  <c r="F13" i="3"/>
  <c r="F12" i="3"/>
  <c r="F11" i="3"/>
  <c r="F10" i="3"/>
  <c r="F9" i="3"/>
  <c r="F8" i="3"/>
  <c r="G7" i="3"/>
  <c r="F7" i="3"/>
  <c r="R1" i="3"/>
  <c r="O1" i="3"/>
  <c r="I1" i="3"/>
  <c r="C1" i="3"/>
  <c r="G45" i="2"/>
  <c r="M44" i="2"/>
  <c r="L44" i="2"/>
  <c r="K44" i="2"/>
  <c r="J44" i="2"/>
  <c r="I44" i="2"/>
  <c r="H44" i="2"/>
  <c r="G44" i="2"/>
  <c r="F44" i="2"/>
  <c r="E44" i="2"/>
  <c r="D44" i="2"/>
  <c r="K43" i="2"/>
  <c r="M42" i="2"/>
  <c r="L42" i="2"/>
  <c r="K42" i="2"/>
  <c r="J42" i="2"/>
  <c r="I42" i="2"/>
  <c r="H42" i="2"/>
  <c r="G42" i="2"/>
  <c r="F42" i="2"/>
  <c r="E42" i="2"/>
  <c r="D42" i="2"/>
  <c r="M41" i="2"/>
  <c r="L41" i="2"/>
  <c r="K41" i="2"/>
  <c r="G41" i="2"/>
  <c r="F41" i="2"/>
  <c r="D41" i="2"/>
  <c r="M40" i="2"/>
  <c r="L40" i="2"/>
  <c r="K40" i="2"/>
  <c r="D40" i="2"/>
  <c r="M38" i="2"/>
  <c r="L38" i="2"/>
  <c r="K38" i="2"/>
  <c r="D38" i="2"/>
  <c r="M37" i="2"/>
  <c r="L37" i="2"/>
  <c r="K37" i="2"/>
  <c r="J37" i="2"/>
  <c r="I37" i="2"/>
  <c r="H37" i="2"/>
  <c r="G37" i="2"/>
  <c r="F37" i="2"/>
  <c r="E37" i="2"/>
  <c r="D37" i="2"/>
  <c r="M35" i="2"/>
  <c r="L35" i="2"/>
  <c r="K35" i="2"/>
  <c r="D35" i="2"/>
  <c r="M34" i="2"/>
  <c r="L34" i="2"/>
  <c r="K34" i="2"/>
  <c r="J34" i="2"/>
  <c r="I34" i="2"/>
  <c r="H34" i="2"/>
  <c r="G34" i="2"/>
  <c r="F34" i="2"/>
  <c r="E34" i="2"/>
  <c r="D34" i="2"/>
  <c r="M33" i="2"/>
  <c r="L33" i="2"/>
  <c r="K33" i="2"/>
  <c r="D33" i="2"/>
  <c r="M32" i="2"/>
  <c r="L32" i="2"/>
  <c r="K32" i="2"/>
  <c r="D32" i="2"/>
  <c r="M31" i="2"/>
  <c r="L31" i="2"/>
  <c r="K31" i="2"/>
  <c r="D31" i="2"/>
  <c r="M30" i="2"/>
  <c r="L30" i="2"/>
  <c r="K30" i="2"/>
  <c r="D30" i="2"/>
  <c r="M29" i="2"/>
  <c r="L29" i="2"/>
  <c r="K29" i="2"/>
  <c r="D29" i="2"/>
  <c r="M28" i="2"/>
  <c r="L28" i="2"/>
  <c r="K28" i="2"/>
  <c r="D28" i="2"/>
  <c r="M27" i="2"/>
  <c r="L27" i="2"/>
  <c r="K27" i="2"/>
  <c r="D27" i="2"/>
  <c r="M26" i="2"/>
  <c r="L26" i="2"/>
  <c r="K26" i="2"/>
  <c r="D26" i="2"/>
  <c r="M24" i="2"/>
  <c r="L24" i="2"/>
  <c r="K24" i="2"/>
  <c r="D24" i="2"/>
  <c r="M22" i="2"/>
  <c r="L22" i="2"/>
  <c r="K22" i="2"/>
  <c r="J22" i="2"/>
  <c r="I22" i="2"/>
  <c r="H22" i="2"/>
  <c r="G22" i="2"/>
  <c r="F22" i="2"/>
  <c r="E22" i="2"/>
  <c r="D22" i="2"/>
  <c r="M21" i="2"/>
  <c r="L21" i="2"/>
  <c r="K21" i="2"/>
  <c r="D21" i="2"/>
  <c r="M20" i="2"/>
  <c r="L20" i="2"/>
  <c r="K20" i="2"/>
  <c r="D20" i="2"/>
  <c r="M19" i="2"/>
  <c r="L19" i="2"/>
  <c r="K19" i="2"/>
  <c r="D19" i="2"/>
  <c r="M18" i="2"/>
  <c r="L18" i="2"/>
  <c r="K18" i="2"/>
  <c r="D18" i="2"/>
  <c r="M17" i="2"/>
  <c r="L17" i="2"/>
  <c r="K17" i="2"/>
  <c r="D17" i="2"/>
  <c r="M16" i="2"/>
  <c r="L16" i="2"/>
  <c r="K16" i="2"/>
  <c r="D16" i="2"/>
  <c r="M15" i="2"/>
  <c r="L15" i="2"/>
  <c r="K15" i="2"/>
  <c r="D15" i="2"/>
  <c r="M14" i="2"/>
  <c r="L14" i="2"/>
  <c r="K14" i="2"/>
  <c r="D14" i="2"/>
  <c r="M13" i="2"/>
  <c r="L13" i="2"/>
  <c r="K13" i="2"/>
  <c r="F13" i="2"/>
  <c r="D13" i="2"/>
  <c r="M12" i="2"/>
  <c r="L12" i="2"/>
  <c r="K12" i="2"/>
  <c r="D12" i="2"/>
  <c r="M11" i="2"/>
  <c r="L11" i="2"/>
  <c r="K11" i="2"/>
  <c r="D11" i="2"/>
  <c r="M10" i="2"/>
  <c r="L10" i="2"/>
  <c r="K10" i="2"/>
  <c r="D10" i="2"/>
  <c r="M8" i="2"/>
  <c r="L8" i="2"/>
  <c r="K8" i="2"/>
  <c r="D8" i="2"/>
  <c r="L6" i="2"/>
  <c r="K6" i="2"/>
  <c r="M1" i="2"/>
  <c r="J1" i="2"/>
  <c r="G1" i="2"/>
  <c r="B1" i="2"/>
  <c r="V40" i="16"/>
  <c r="V39" i="16"/>
  <c r="S34" i="16"/>
  <c r="S33" i="16"/>
  <c r="T31" i="16"/>
  <c r="S31" i="16"/>
  <c r="P31" i="16"/>
  <c r="F31" i="16"/>
  <c r="V26" i="16"/>
  <c r="U26" i="16"/>
  <c r="S26" i="16"/>
  <c r="Q26" i="16"/>
  <c r="V25" i="16"/>
  <c r="U25" i="16"/>
  <c r="S25" i="16"/>
  <c r="Q25" i="16"/>
  <c r="Q22" i="16"/>
  <c r="N22" i="16"/>
  <c r="W18" i="16"/>
  <c r="G15" i="16"/>
  <c r="G14" i="16"/>
  <c r="G13" i="16"/>
  <c r="N10" i="16"/>
  <c r="O9" i="16"/>
  <c r="N37" i="14" l="1"/>
  <c r="D21" i="14" s="1"/>
  <c r="F18" i="14"/>
  <c r="M37" i="14"/>
  <c r="C21" i="14" s="1"/>
  <c r="F20" i="14"/>
  <c r="E17" i="14"/>
  <c r="F17" i="14" s="1"/>
  <c r="E12" i="14"/>
  <c r="F12" i="14" s="1"/>
  <c r="E21" i="14" l="1"/>
  <c r="F21" i="14" s="1"/>
  <c r="U28" i="16"/>
  <c r="U27" i="16"/>
  <c r="F11" i="14"/>
  <c r="C11" i="14"/>
  <c r="I27" i="7"/>
  <c r="I40" i="7"/>
  <c r="J40" i="7"/>
  <c r="I10" i="7"/>
  <c r="J10" i="7"/>
  <c r="J27" i="7"/>
  <c r="D11" i="14"/>
  <c r="E11"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<sst xmlns="http://schemas.openxmlformats.org/spreadsheetml/2006/main" count="2915" uniqueCount="1411">
  <si>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</si>
  <si>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</si>
  <si>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</si>
  <si>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</si>
  <si>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</si>
  <si>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</si>
  <si>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</si>
  <si>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</si>
  <si>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</si>
  <si>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</si>
  <si>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</si>
  <si>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</si>
  <si>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</si>
  <si>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</si>
  <si>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</si>
  <si>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</si>
  <si>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</si>
  <si>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</si>
  <si>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</si>
  <si>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</si>
  <si>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</si>
  <si>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</si>
  <si>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</si>
  <si>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</si>
  <si>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</si>
  <si>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</si>
  <si>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</si>
  <si>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</si>
  <si>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</si>
  <si>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</si>
  <si>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</si>
  <si>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</si>
  <si>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</si>
  <si>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</si>
  <si>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</si>
  <si>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</si>
  <si>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</si>
  <si>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</si>
  <si>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</si>
  <si>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</si>
  <si>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</si>
  <si>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</si>
  <si>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</si>
  <si>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</si>
  <si>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</si>
  <si>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</si>
  <si>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</si>
  <si>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</si>
  <si>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</si>
  <si>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</si>
  <si>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</si>
  <si>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</si>
  <si>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</si>
  <si>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</si>
  <si>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</si>
  <si>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</si>
  <si>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</si>
  <si>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</si>
  <si>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</si>
  <si>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</si>
  <si>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</si>
  <si>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</si>
  <si>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</si>
  <si>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</si>
  <si>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</si>
  <si>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</si>
  <si>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</si>
  <si>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</si>
  <si>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</si>
  <si>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</si>
  <si>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</si>
  <si>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</si>
  <si>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</si>
  <si>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</si>
  <si>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</si>
  <si>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Fund 001 (M&amp;O)</t>
  </si>
  <si>
    <t>Maintenance and Operation (M&amp;O) Fund</t>
  </si>
  <si>
    <t>Employee</t>
  </si>
  <si>
    <t>Purchased</t>
  </si>
  <si>
    <t>Totals</t>
  </si>
  <si>
    <t>FTE</t>
  </si>
  <si>
    <t>Salaries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</si>
  <si>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</si>
  <si>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</si>
  <si>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</si>
  <si>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</si>
  <si>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</si>
  <si>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</si>
  <si>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</si>
  <si>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</si>
  <si>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</si>
  <si>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</si>
  <si>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</si>
  <si>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</si>
  <si>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</si>
  <si>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</si>
  <si>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</si>
  <si>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</si>
  <si>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</si>
  <si>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</si>
  <si>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</si>
  <si>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</si>
  <si>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</si>
  <si>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</si>
  <si>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</si>
  <si>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</si>
  <si>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</si>
  <si>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</si>
  <si>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</si>
  <si>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</si>
  <si>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</si>
  <si>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</si>
  <si>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</si>
  <si>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</si>
  <si>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</si>
  <si>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</si>
  <si>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</si>
  <si>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</si>
  <si>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</si>
  <si>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</si>
  <si>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</si>
  <si>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</si>
  <si>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</si>
  <si>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</si>
  <si>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</si>
  <si>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</si>
  <si>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30.</t>
  </si>
  <si>
    <t xml:space="preserve">          </t>
  </si>
  <si>
    <r>
      <t>(A.R.S. §</t>
    </r>
    <r>
      <rPr>
        <sz val="10"/>
        <rFont val="Calibri"/>
        <family val="2"/>
      </rPr>
      <t>§</t>
    </r>
    <r>
      <rPr>
        <sz val="10"/>
        <rFont val="Times New Roman"/>
        <family val="1"/>
      </rPr>
      <t xml:space="preserve"> 15-761 and 15-903)</t>
    </r>
  </si>
  <si>
    <t>Prior FY</t>
  </si>
  <si>
    <t>Budget FY</t>
  </si>
  <si>
    <t>Expenditures budgeted for audit services</t>
  </si>
  <si>
    <t>total of line 24, page 1)</t>
  </si>
  <si>
    <t>IEP required pupil transportation costs</t>
  </si>
  <si>
    <t>Expenditures budgeted in the M&amp;O Fund for food service</t>
  </si>
  <si>
    <t>coded within Program 400</t>
  </si>
  <si>
    <t>(This amount will be used to determine district compliance with state matching</t>
  </si>
  <si>
    <t>requirements pursuant to Code of Federal Regulations (CFR) Title 7, §210.17(a)]</t>
  </si>
  <si>
    <t>Proposed ratios for special education</t>
  </si>
  <si>
    <t>(A.R.S. §§15-903.E.1 and 15-764.A.5)</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</si>
  <si>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</si>
  <si>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</si>
  <si>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</si>
  <si>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</si>
  <si>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</si>
  <si>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</si>
  <si>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</si>
  <si>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</si>
  <si>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</si>
  <si>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</si>
  <si>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</si>
  <si>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</si>
  <si>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</si>
  <si>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</si>
  <si>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4000 Facilities acquisition and construction</t>
  </si>
  <si>
    <t xml:space="preserve">     5000 Debt service </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</si>
  <si>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</si>
  <si>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</si>
  <si>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</si>
  <si>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</si>
  <si>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</si>
  <si>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</si>
  <si>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</si>
  <si>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</si>
  <si>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</si>
  <si>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</si>
  <si>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</si>
  <si>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</si>
  <si>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</si>
  <si>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</si>
  <si>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</si>
  <si>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</si>
  <si>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</si>
  <si>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Fund 610 (6)</t>
  </si>
  <si>
    <t xml:space="preserve">        1000  Instruction</t>
  </si>
  <si>
    <t xml:space="preserve">            2300, 2400, 2500, 2900  Administration</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</si>
  <si>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</si>
  <si>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</si>
  <si>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</si>
  <si>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</si>
  <si>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</si>
  <si>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</si>
  <si>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</si>
  <si>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</si>
  <si>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673X Vehicles</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</si>
  <si>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</si>
  <si>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</si>
  <si>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</si>
  <si>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</si>
  <si>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</si>
  <si>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</si>
  <si>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</si>
  <si>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</si>
  <si>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</si>
  <si>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</si>
  <si>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</si>
  <si>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</si>
  <si>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</si>
  <si>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</si>
  <si>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 xml:space="preserve">        673X Vehicles </t>
  </si>
  <si>
    <t xml:space="preserve">       Renovation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</si>
  <si>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</si>
  <si>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</si>
  <si>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</si>
  <si>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</si>
  <si>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</si>
  <si>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</si>
  <si>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</si>
  <si>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</si>
  <si>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072  Compensatory Instruction (1)</t>
  </si>
  <si>
    <t>500  School Plant  (2)</t>
  </si>
  <si>
    <t>510  Food Service</t>
  </si>
  <si>
    <t>515  Civic Center</t>
  </si>
  <si>
    <t>520  Community School</t>
  </si>
  <si>
    <t>525  Auxiliary Operations</t>
  </si>
  <si>
    <t>526  Extracurricular Activities Fees Tax Credit</t>
  </si>
  <si>
    <t>530  Gifts and Donations</t>
  </si>
  <si>
    <t>230 Johnson-O'Malley</t>
  </si>
  <si>
    <t>535  Career &amp; Technical Education Projects</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</si>
  <si>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</si>
  <si>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</si>
  <si>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</si>
  <si>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</si>
  <si>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</si>
  <si>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</si>
  <si>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</si>
  <si>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</si>
  <si>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</si>
  <si>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</si>
  <si>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</si>
  <si>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</si>
  <si>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</si>
  <si>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</si>
  <si>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</si>
  <si>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</si>
  <si>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</si>
  <si>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590  Grants and Gifts to Teachers</t>
  </si>
  <si>
    <t>595  Advertisement</t>
  </si>
  <si>
    <t>596  Career Technical Education</t>
  </si>
  <si>
    <t>State projects FTE &amp; expenditures</t>
  </si>
  <si>
    <t>597  Arizona Industry Credentials Incentive</t>
  </si>
  <si>
    <t>639  Impact Aid Revenue Bond Building</t>
  </si>
  <si>
    <t>410 Early Childhood Block Grant</t>
  </si>
  <si>
    <t>650  Gifts and Donations-Capital</t>
  </si>
  <si>
    <t>660  Condemnation</t>
  </si>
  <si>
    <t>665  Energy and Water Savings</t>
  </si>
  <si>
    <t>686  Emergency Deficiencies Correction</t>
  </si>
  <si>
    <t>691  Building Renewal Grant</t>
  </si>
  <si>
    <t>31.</t>
  </si>
  <si>
    <t>700  Debt Service</t>
  </si>
  <si>
    <t>32.</t>
  </si>
  <si>
    <t>720  Impact Aid Revenue Bond Debt Service</t>
  </si>
  <si>
    <t>460 Environmental Special Plate</t>
  </si>
  <si>
    <t>33.</t>
  </si>
  <si>
    <t>850  Student Activities</t>
  </si>
  <si>
    <t>34.</t>
  </si>
  <si>
    <t>Other _____________________________________</t>
  </si>
  <si>
    <t>Internal Service Funds 950-989</t>
  </si>
  <si>
    <t>9___ Self-Insurance</t>
  </si>
  <si>
    <t>955  Intergovernmental Agreements</t>
  </si>
  <si>
    <t>9__  OPEB</t>
  </si>
  <si>
    <t>9___   ______________________</t>
  </si>
  <si>
    <t>(1)</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</si>
  <si>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</si>
  <si>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</si>
  <si>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</si>
  <si>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</si>
  <si>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</si>
  <si>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</si>
  <si>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</si>
  <si>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</si>
  <si>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</si>
  <si>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</si>
  <si>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</si>
  <si>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</si>
  <si>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</si>
  <si>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</si>
  <si>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</si>
  <si>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</si>
  <si>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</si>
  <si>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</si>
  <si>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</si>
  <si>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</si>
  <si>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</si>
  <si>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</si>
  <si>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*5.</t>
  </si>
  <si>
    <r>
      <t xml:space="preserve">(Do </t>
    </r>
    <r>
      <rPr>
        <b/>
        <sz val="9"/>
        <color indexed="8"/>
        <rFont val="Times New Roman"/>
        <family val="1"/>
      </rPr>
      <t>not</t>
    </r>
    <r>
      <rPr>
        <sz val="9"/>
        <color indexed="8"/>
        <rFont val="Times New Roman"/>
        <family val="1"/>
      </rPr>
      <t xml:space="preserve"> include full-day kindergarten or summer school tuition)</t>
    </r>
  </si>
  <si>
    <t>(d)</t>
  </si>
  <si>
    <t>Certificates of Educational Convenience (A.R.S. §§15-825, 15-825.01, and 15-825.02)</t>
  </si>
  <si>
    <t>*6.</t>
  </si>
  <si>
    <t>*7.</t>
  </si>
  <si>
    <t>*</t>
  </si>
  <si>
    <t>(e)</t>
  </si>
  <si>
    <t>(f)</t>
  </si>
  <si>
    <t>(g)</t>
  </si>
  <si>
    <t>(h)</t>
  </si>
  <si>
    <t>*9.</t>
  </si>
  <si>
    <t>Adjustment to the General Budget Limit (A.R.S. §§15-272, 15-905.M, 15-910.02, and 15-915) 
Include year(s) and descriptions, as applicable.</t>
  </si>
  <si>
    <t>Other:</t>
  </si>
  <si>
    <t>( A.R.S. §15-905.F) (to page 8, line 11)</t>
  </si>
  <si>
    <t xml:space="preserve">District name      </t>
  </si>
  <si>
    <t>Unrestricted Capital Budget Limit</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</si>
  <si>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</si>
  <si>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</si>
  <si>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</si>
  <si>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</si>
  <si>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</si>
  <si>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English Language Learners Supplement</t>
  </si>
  <si>
    <t>benefits</t>
  </si>
  <si>
    <t>services</t>
  </si>
  <si>
    <t>English Language Learner Fund 071  (A.R.S. §15-756.04)</t>
  </si>
  <si>
    <t>Compensatory Instruction Fund 072  (A.R.S. §15-756.11)</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</si>
  <si>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</si>
  <si>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</si>
  <si>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</si>
  <si>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</si>
  <si>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</si>
  <si>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</si>
  <si>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</si>
  <si>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</si>
  <si>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during normal business hours.</t>
  </si>
  <si>
    <t>President of the Governing Board</t>
  </si>
  <si>
    <t>Prior year</t>
  </si>
  <si>
    <t>Budget year</t>
  </si>
  <si>
    <t>4. Average teacher salaries (A.R.S. §15-903.E)</t>
  </si>
  <si>
    <t>Attending</t>
  </si>
  <si>
    <t>3. Increase in average teacher salary from the prior year</t>
  </si>
  <si>
    <t>Est. Budget FY</t>
  </si>
  <si>
    <t xml:space="preserve">4. Percentage increase </t>
  </si>
  <si>
    <r>
      <t xml:space="preserve">Primary rate </t>
    </r>
    <r>
      <rPr>
        <sz val="8"/>
        <color indexed="8"/>
        <rFont val="Times New Roman"/>
        <family val="1"/>
      </rPr>
      <t>(equalization formula funding and budget add-ons not required to be in secondary rate)</t>
    </r>
  </si>
  <si>
    <t>Maintenance &amp; Operation Fund</t>
  </si>
  <si>
    <t>Classroom Site Fund</t>
  </si>
  <si>
    <t>Unrestricted Capital Outlay Fund</t>
  </si>
  <si>
    <t>% Inc./(Decr.)</t>
  </si>
  <si>
    <t>TOTAL</t>
  </si>
  <si>
    <t>from</t>
  </si>
  <si>
    <t xml:space="preserve">      2300, 2400, 2500 Administration</t>
  </si>
  <si>
    <t xml:space="preserve">      2900 Other </t>
  </si>
  <si>
    <t>510 Desegregation</t>
  </si>
  <si>
    <t>Total expenditures by fund</t>
  </si>
  <si>
    <t>$ Increase/(Decrease)</t>
  </si>
  <si>
    <t>% Increase/(Decrease)</t>
  </si>
  <si>
    <t>Fund</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</si>
  <si>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</si>
  <si>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</si>
  <si>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</si>
  <si>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</si>
  <si>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</si>
  <si>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</si>
  <si>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</si>
  <si>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</si>
  <si>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</si>
  <si>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</si>
  <si>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</si>
  <si>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r>
      <t>Program (A.R.S. §§15-761</t>
    </r>
    <r>
      <rPr>
        <b/>
        <sz val="8"/>
        <rFont val="Times New Roman"/>
        <family val="1"/>
      </rPr>
      <t xml:space="preserve"> and 15-903)</t>
    </r>
  </si>
  <si>
    <t xml:space="preserve">             TOTAL</t>
  </si>
  <si>
    <t>Proposed staffing summary</t>
  </si>
  <si>
    <t>Employee FTE</t>
  </si>
  <si>
    <t>Total FTE</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</si>
  <si>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</si>
  <si>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</si>
  <si>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</si>
  <si>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</si>
  <si>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</si>
  <si>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</si>
  <si>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</si>
  <si>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</si>
  <si>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</si>
  <si>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</si>
  <si>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</si>
  <si>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</si>
  <si>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</si>
  <si>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</si>
  <si>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</si>
  <si>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</si>
  <si>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</si>
  <si>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Small school adjustment (from page 7, line 4, columns A and B)</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</si>
  <si>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</si>
  <si>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</si>
  <si>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</si>
  <si>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</si>
  <si>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</si>
  <si>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</si>
  <si>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</si>
  <si>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(Line 10 minus line 3.  If negative, enter zero.)</t>
  </si>
  <si>
    <t>pursuant to A.R.S. §15-995 (from page 5, footnote 2) (1)</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</si>
  <si>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</si>
  <si>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</si>
  <si>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</si>
  <si>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</si>
  <si>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</si>
  <si>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</si>
  <si>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</si>
  <si>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</si>
  <si>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</si>
  <si>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</si>
  <si>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Funds</t>
  </si>
  <si>
    <t>General</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</si>
  <si>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</si>
  <si>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</si>
  <si>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</si>
  <si>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</si>
  <si>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</si>
  <si>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</si>
  <si>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</si>
  <si>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</si>
  <si>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</si>
  <si>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</si>
  <si>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</si>
  <si>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</si>
  <si>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</si>
  <si>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</si>
  <si>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</si>
  <si>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</si>
  <si>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</si>
  <si>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</si>
  <si>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</si>
  <si>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</si>
  <si>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</si>
  <si>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</si>
  <si>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</si>
  <si>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</si>
  <si>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</si>
  <si>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</si>
  <si>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</si>
  <si>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</si>
  <si>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</si>
  <si>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</si>
  <si>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</si>
  <si>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PSD</t>
  </si>
  <si>
    <t>K-8</t>
  </si>
  <si>
    <t>9-12</t>
  </si>
  <si>
    <t xml:space="preserve">2. </t>
  </si>
  <si>
    <t>Student count by category</t>
  </si>
  <si>
    <t>Student counts used to calculate the Group B weighted add-on count used in calculating the Base Support Level.</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</si>
  <si>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</si>
  <si>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</si>
  <si>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</si>
  <si>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</si>
  <si>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</si>
  <si>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</si>
  <si>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</si>
  <si>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</si>
  <si>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</si>
  <si>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</si>
  <si>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</si>
  <si>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</si>
  <si>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</si>
  <si>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</si>
  <si>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</si>
  <si>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</si>
  <si>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</si>
  <si>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</si>
  <si>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</si>
  <si>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</si>
  <si>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</si>
  <si>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</si>
  <si>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</si>
  <si>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</si>
  <si>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</si>
  <si>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Assessed property valuations</t>
  </si>
  <si>
    <t>Budget balance carryforward (A.R.S. §15-943.01)</t>
  </si>
  <si>
    <t xml:space="preserve">Desegregation (A.R.S. §15-910) </t>
  </si>
  <si>
    <t xml:space="preserve">Dropout prevention programs </t>
  </si>
  <si>
    <t>d.</t>
  </si>
  <si>
    <t xml:space="preserve">Performance pay (A.R.S. §15-920) </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</si>
  <si>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</si>
  <si>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</si>
  <si>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</si>
  <si>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</si>
  <si>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</si>
  <si>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</si>
  <si>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</si>
  <si>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</si>
  <si>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</si>
  <si>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</si>
  <si>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</si>
  <si>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</si>
  <si>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</si>
  <si>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</si>
  <si>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</si>
  <si>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</si>
  <si>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</si>
  <si>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</si>
  <si>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Designated as isolated</t>
  </si>
  <si>
    <t>Not designated as isolated</t>
  </si>
  <si>
    <t>Support Level Weight</t>
  </si>
  <si>
    <t>-</t>
  </si>
  <si>
    <t>Difference</t>
  </si>
  <si>
    <t>=</t>
  </si>
  <si>
    <t>x</t>
  </si>
  <si>
    <t>+</t>
  </si>
  <si>
    <t>K-3 R</t>
  </si>
  <si>
    <t>Non-AOI</t>
  </si>
  <si>
    <t>AOI FT*</t>
  </si>
  <si>
    <t>Other calculations</t>
  </si>
  <si>
    <t>AOI PT*</t>
  </si>
  <si>
    <t>*AOI counts shown reflect applicable full-time or part-time funding ratio.</t>
  </si>
  <si>
    <t>Table to calculate DAA per student count</t>
  </si>
  <si>
    <t>e.</t>
  </si>
  <si>
    <t>f.</t>
  </si>
  <si>
    <t>g.</t>
  </si>
  <si>
    <t>h.</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</si>
  <si>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</si>
  <si>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</si>
  <si>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</si>
  <si>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</si>
  <si>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</si>
  <si>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</si>
  <si>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Actual</t>
  </si>
  <si>
    <t>Unexpended Budget</t>
  </si>
  <si>
    <t>Special program override</t>
  </si>
  <si>
    <t>Desegregation</t>
  </si>
  <si>
    <t>Performance pay</t>
  </si>
  <si>
    <t>Total budget balance deductions (lines 10.a through 10.f)</t>
  </si>
  <si>
    <t>Accommodation district cash balance carryforward</t>
  </si>
  <si>
    <t xml:space="preserve">Remaining M&amp;O cash balance </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</si>
  <si>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</si>
  <si>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</si>
  <si>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</si>
  <si>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</si>
  <si>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</si>
  <si>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</si>
  <si>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</si>
  <si>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</si>
  <si>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</si>
  <si>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</si>
  <si>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</si>
  <si>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</si>
  <si>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</si>
  <si>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</si>
  <si>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</si>
  <si>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Weight adjustment factor</t>
  </si>
  <si>
    <t xml:space="preserve">Weighted student count above small school limit </t>
  </si>
  <si>
    <t>Support level weight increase</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</si>
  <si>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</si>
  <si>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</si>
  <si>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</si>
  <si>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</si>
  <si>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</si>
  <si>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</si>
  <si>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</si>
  <si>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</si>
  <si>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</si>
  <si>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</si>
  <si>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</si>
  <si>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</si>
  <si>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</si>
  <si>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</si>
  <si>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</si>
  <si>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</si>
  <si>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</si>
  <si>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</si>
  <si>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A district whose 9-12 student count has exceeded 100, but is less than 185 may determine the maximum small school adjustment override as follows:</t>
  </si>
  <si>
    <t>9-12 Revenue Control Limit</t>
  </si>
  <si>
    <t>PSD-8 RCL from BSA55</t>
  </si>
  <si>
    <t>PSD weighted ADM percentage</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</si>
  <si>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</si>
  <si>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</si>
  <si>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</si>
  <si>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</si>
  <si>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</si>
  <si>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</si>
  <si>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</si>
  <si>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</si>
  <si>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</si>
  <si>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</si>
  <si>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</si>
  <si>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</si>
  <si>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</si>
  <si>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</si>
  <si>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</si>
  <si>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</si>
  <si>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</si>
  <si>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</si>
  <si>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</si>
  <si>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</si>
  <si>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</si>
  <si>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</si>
  <si>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</si>
  <si>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</si>
  <si>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</si>
  <si>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</si>
  <si>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</si>
  <si>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</si>
  <si>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</si>
  <si>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</si>
  <si>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</si>
  <si>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</si>
  <si>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</si>
  <si>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</si>
  <si>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</si>
  <si>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</si>
  <si>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</si>
  <si>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</si>
  <si>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</si>
  <si>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</si>
  <si>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</si>
  <si>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</si>
  <si>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</si>
  <si>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</si>
  <si>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</si>
  <si>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</si>
  <si>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</si>
  <si>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</si>
  <si>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</si>
  <si>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</si>
  <si>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</si>
  <si>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</si>
  <si>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</si>
  <si>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</si>
  <si>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</si>
  <si>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</si>
  <si>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</si>
  <si>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</si>
  <si>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</si>
  <si>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</si>
  <si>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</si>
  <si>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</si>
  <si>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</si>
  <si>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</si>
  <si>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</si>
  <si>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</si>
  <si>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</si>
  <si>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</si>
  <si>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</si>
  <si>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</si>
  <si>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</si>
  <si>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</si>
  <si>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</si>
  <si>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</si>
  <si>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</si>
  <si>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</si>
  <si>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</si>
  <si>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</si>
  <si>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</si>
  <si>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</si>
  <si>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</si>
  <si>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</si>
  <si>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</si>
  <si>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</si>
  <si>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</si>
  <si>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</si>
  <si>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</si>
  <si>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</si>
  <si>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</si>
  <si>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</si>
  <si>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</si>
  <si>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</si>
  <si>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</si>
  <si>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</si>
  <si>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</si>
  <si>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</si>
  <si>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</si>
  <si>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</si>
  <si>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</si>
  <si>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</si>
  <si>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</si>
  <si>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</si>
  <si>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</si>
  <si>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</si>
  <si>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</si>
  <si>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</si>
  <si>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</si>
  <si>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</si>
  <si>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</si>
  <si>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</si>
  <si>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</si>
  <si>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</si>
  <si>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</si>
  <si>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</si>
  <si>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</si>
  <si>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</si>
  <si>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</si>
  <si>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</si>
  <si>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</si>
  <si>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</si>
  <si>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</si>
  <si>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</si>
  <si>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</si>
  <si>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</si>
  <si>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</si>
  <si>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</si>
  <si>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</si>
  <si>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</si>
  <si>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</si>
  <si>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</si>
  <si>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</si>
  <si>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</si>
  <si>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</si>
  <si>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</si>
  <si>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</si>
  <si>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</si>
  <si>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</si>
  <si>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</si>
  <si>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</si>
  <si>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</si>
  <si>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</si>
  <si>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</si>
  <si>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</si>
  <si>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</si>
  <si>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</si>
  <si>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</si>
  <si>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</si>
  <si>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</si>
  <si>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</si>
  <si>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</si>
  <si>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</si>
  <si>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</si>
  <si>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</si>
  <si>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</si>
  <si>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</si>
  <si>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</si>
  <si>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</si>
  <si>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</si>
  <si>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</si>
  <si>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</si>
  <si>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</si>
  <si>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</si>
  <si>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</si>
  <si>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</si>
  <si>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</si>
  <si>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</si>
  <si>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</si>
  <si>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</si>
  <si>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</si>
  <si>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</si>
  <si>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</si>
  <si>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</si>
  <si>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</si>
  <si>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</si>
  <si>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</si>
  <si>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</si>
  <si>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</si>
  <si>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</si>
  <si>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</si>
  <si>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</si>
  <si>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</si>
  <si>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</si>
  <si>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</si>
  <si>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</si>
  <si>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</si>
  <si>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</si>
  <si>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</si>
  <si>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34</t>
  </si>
  <si>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</si>
  <si>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</si>
  <si>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</si>
  <si>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</si>
  <si>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</si>
  <si>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</si>
  <si>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</si>
  <si>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</si>
  <si>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</si>
  <si>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</si>
  <si>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</si>
  <si>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</si>
  <si>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</si>
  <si>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</si>
  <si>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</si>
  <si>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</si>
  <si>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</si>
  <si>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</si>
  <si>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</si>
  <si>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</si>
  <si>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</si>
  <si>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</si>
  <si>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</si>
  <si>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</si>
  <si>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</si>
  <si>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</si>
  <si>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</si>
  <si>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</si>
  <si>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</si>
  <si>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</si>
  <si>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</si>
  <si>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</si>
  <si>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</si>
  <si>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</si>
  <si>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</si>
  <si>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</si>
  <si>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</si>
  <si>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</si>
  <si>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</si>
  <si>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</si>
  <si>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</si>
  <si>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t>Line 10 continued</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</si>
  <si>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</si>
  <si>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</si>
  <si>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</si>
  <si>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</si>
  <si>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</si>
  <si>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</si>
  <si>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</si>
  <si>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</si>
  <si>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</si>
  <si>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</si>
  <si>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</si>
  <si>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</si>
  <si>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</si>
  <si>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</si>
  <si>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</si>
  <si>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</si>
  <si>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</si>
  <si>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</si>
  <si>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</si>
  <si>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</si>
  <si>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</si>
  <si>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</si>
  <si>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</si>
  <si>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</si>
  <si>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</si>
  <si>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</si>
  <si>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</si>
  <si>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</si>
  <si>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</si>
  <si>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</si>
  <si>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</si>
  <si>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</si>
  <si>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</si>
  <si>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</si>
  <si>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</si>
  <si>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</si>
  <si>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</si>
  <si>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</si>
  <si>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</si>
  <si>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</si>
  <si>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</si>
  <si>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</si>
  <si>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</si>
  <si>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</si>
  <si>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</si>
  <si>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</si>
  <si>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</si>
  <si>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</si>
  <si>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</si>
  <si>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</si>
  <si>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</si>
  <si>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</si>
  <si>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</si>
  <si>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</si>
  <si>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</si>
  <si>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</si>
  <si>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</si>
  <si>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</si>
  <si>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</si>
  <si>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</si>
  <si>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</si>
  <si>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</si>
  <si>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</si>
  <si>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</si>
  <si>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</si>
  <si>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</si>
  <si>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</si>
  <si>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</si>
  <si>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</si>
  <si>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</si>
  <si>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</si>
  <si>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</si>
  <si>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</si>
  <si>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</si>
  <si>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</si>
  <si>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</si>
  <si>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</si>
  <si>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</si>
  <si>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</si>
  <si>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</si>
  <si>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</si>
  <si>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</si>
  <si>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</si>
  <si>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</si>
  <si>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</si>
  <si>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</si>
  <si>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</si>
  <si>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</si>
  <si>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</si>
  <si>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</si>
  <si>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</si>
  <si>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</si>
  <si>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</si>
  <si>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</si>
  <si>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</si>
  <si>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</si>
  <si>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</si>
  <si>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</si>
  <si>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</si>
  <si>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</si>
  <si>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</si>
  <si>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</si>
  <si>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</si>
  <si>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</si>
  <si>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</si>
  <si>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</si>
  <si>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</si>
  <si>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</si>
  <si>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</si>
  <si>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</si>
  <si>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</si>
  <si>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</si>
  <si>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</si>
  <si>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OR  If the district holds an override election as provided in A.R.S. Section 15-481, the district may include up to the amount calculated below on page 7, line 3(a).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</si>
  <si>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</si>
  <si>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Adjusted FY26 DAA Base Allocation</t>
  </si>
  <si>
    <t>FY26 DSL/RCL Allocation</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</si>
  <si>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</si>
  <si>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</si>
  <si>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</si>
  <si>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</si>
  <si>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District website link of posted budget</t>
  </si>
  <si>
    <t>District Website Link</t>
  </si>
  <si>
    <t>District Information</t>
  </si>
  <si>
    <t>UCO Fund Type</t>
  </si>
  <si>
    <t>1, 3, 4</t>
  </si>
  <si>
    <t>Student Count
by Category
Lines 8 and 9</t>
  </si>
  <si>
    <t>Include amounts for Funds 300-399 Other Federal Projects (besides funds that are separately reported on lines 15 through 18).</t>
  </si>
  <si>
    <t>This line should be left blank unless otherwise instructed by ADE.</t>
  </si>
  <si>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</si>
  <si>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</si>
  <si>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</si>
  <si>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</si>
  <si>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</si>
  <si>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</si>
  <si>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</si>
  <si>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</si>
  <si>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</si>
  <si>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Budgeted expenditures (lines 14, and 24-29)</t>
  </si>
  <si>
    <t>Total budget limit expenditures (lines 10-11)</t>
  </si>
  <si>
    <t>Total budget limit expenditures (lines 10-11)
    (Cannot exceed page 8, line 12)</t>
  </si>
  <si>
    <t>Budgeted expenditures (lines 1-8)</t>
  </si>
  <si>
    <t xml:space="preserve">Budgeted expenditures (lines 2-9) </t>
  </si>
  <si>
    <t>State Projects, Line 31</t>
  </si>
  <si>
    <t>Mesa Distance Learning Program (MDLP)</t>
  </si>
  <si>
    <t>Pearson (Connexus)</t>
  </si>
  <si>
    <t>Lines 32</t>
  </si>
  <si>
    <t>Lines 10</t>
  </si>
  <si>
    <t>Lines 12</t>
  </si>
  <si>
    <t>Maintenance and Operation Fund (from pages 1, lines 30-31 and 7, line 10)</t>
  </si>
  <si>
    <t>Unrestricted Capital Fund (from pages 4, lines 10-11 and 8, line 12)</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</si>
  <si>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</si>
  <si>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</si>
  <si>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</si>
  <si>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</si>
  <si>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(2) The amounts budgeted on line 11 cannot exceed the respective amounts on this line.</t>
  </si>
  <si>
    <t>Line 11</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</si>
  <si>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</si>
  <si>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</si>
  <si>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</si>
  <si>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</si>
  <si>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State Projects, Line 29</t>
  </si>
  <si>
    <t>Include amounts for Funds 465-499 Other State Projects, including Fund 457—Results-based Funding and Fund 484—Failing Schools Tutoring Grant, along with any other State project funds not included on lines 22 through 30 above.</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</si>
  <si>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</si>
  <si>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</si>
  <si>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</si>
  <si>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</si>
  <si>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</si>
  <si>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</si>
  <si>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</si>
  <si>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</si>
  <si>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Line 30</t>
  </si>
  <si>
    <r>
      <rPr>
        <b/>
        <sz val="8"/>
        <color indexed="12"/>
        <rFont val="Times New Roman"/>
        <family val="1"/>
      </rPr>
      <t xml:space="preserve">          </t>
    </r>
    <r>
      <rPr>
        <b/>
        <u/>
        <sz val="8"/>
        <color indexed="12"/>
        <rFont val="Times New Roman"/>
        <family val="1"/>
      </rPr>
      <t>Activity Trip Level Factor</t>
    </r>
  </si>
  <si>
    <t>The amount budgeted in the M&amp;O Fund cannot exceed the General Budget Limit (GBL) on page 7, line 11. See A.R.S. §15-947(C) and calculation on page 7. ADE uses line 32 to calculate the Budgeted GBL for M&amp;O (lesser of page 1 or GBL) in the BUDG25 report.</t>
  </si>
  <si>
    <t>(from BSA55 tab, page 3)</t>
  </si>
  <si>
    <t>(A.R.S. §15-905.F)  (page 1, line 32 cannot exceed this amount)</t>
  </si>
  <si>
    <t>The amount budgeted on page 4, line 12 cannot exceed this amount.</t>
  </si>
  <si>
    <r>
      <t>Maintained for spending after FY</t>
    </r>
    <r>
      <rPr>
        <sz val="14"/>
        <color rgb="FFFF0000"/>
        <rFont val="Times New Roman"/>
        <family val="1"/>
      </rPr>
      <t xml:space="preserve"> 2027</t>
    </r>
    <r>
      <rPr>
        <sz val="14"/>
        <rFont val="Times New Roman"/>
        <family val="1"/>
      </rPr>
      <t xml:space="preserve"> (budgeted carryforward)</t>
    </r>
  </si>
  <si>
    <r>
      <t xml:space="preserve">For funds with a negative </t>
    </r>
    <r>
      <rPr>
        <u/>
        <sz val="14"/>
        <color theme="1"/>
        <rFont val="Times New Roman"/>
        <family val="1"/>
      </rPr>
      <t>estimated</t>
    </r>
    <r>
      <rPr>
        <sz val="14"/>
        <color theme="1"/>
        <rFont val="Times New Roman"/>
        <family val="1"/>
      </rPr>
      <t xml:space="preserve"> FY 2026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</si>
  <si>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r>
      <t xml:space="preserve">Total budget limit expenditures (lines 30-31)
    (Cannot exceed page 7, line </t>
    </r>
    <r>
      <rPr>
        <sz val="9"/>
        <color theme="1"/>
        <rFont val="Times New Roman"/>
        <family val="1"/>
      </rPr>
      <t>11</t>
    </r>
    <r>
      <rPr>
        <sz val="9"/>
        <rFont val="Times New Roman"/>
        <family val="1"/>
      </rPr>
      <t>)</t>
    </r>
  </si>
  <si>
    <t>Prior year over expenditures/resolutions:</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</si>
  <si>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</si>
  <si>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</si>
  <si>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</si>
  <si>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</si>
  <si>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</si>
  <si>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</si>
  <si>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</si>
  <si>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630 Other instructional programs</t>
  </si>
  <si>
    <t>700, 800, 900 Other programs</t>
  </si>
  <si>
    <t xml:space="preserve">   Regular education subsection subtotal (lines 1-13)</t>
  </si>
  <si>
    <t>200 and 300 Special education</t>
  </si>
  <si>
    <t>400 Pupil transportation</t>
  </si>
  <si>
    <t>530 Dropout prevention programs</t>
  </si>
  <si>
    <t>540 Joint career and technical education and vocational</t>
  </si>
  <si>
    <t>550 K-3 Reading program</t>
  </si>
  <si>
    <t>Gifted education</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</si>
  <si>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</si>
  <si>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</si>
  <si>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</si>
  <si>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</si>
  <si>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</si>
  <si>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</si>
  <si>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</si>
  <si>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</si>
  <si>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Amount budgeted in M&amp;O fund for a performance pay component</t>
  </si>
  <si>
    <t>M&amp;O Fund -nonfederal</t>
  </si>
  <si>
    <t>All funds - federal</t>
  </si>
  <si>
    <t>Unexpended budget balance (line 12 minus 13)</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</si>
  <si>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</si>
  <si>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</si>
  <si>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</si>
  <si>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</si>
  <si>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</si>
  <si>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</si>
  <si>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</si>
  <si>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(1)   Amounts in the Unrestricted Capital Outlay override line 1 above must be included in the appropriate individual line items for fund 610 and in the budget year total column.</t>
  </si>
  <si>
    <t>6641 Library books</t>
  </si>
  <si>
    <t>6643 Instructional aids</t>
  </si>
  <si>
    <t xml:space="preserve">673X Furniture and equipment </t>
  </si>
  <si>
    <t>673X Tech hardware &amp; software</t>
  </si>
  <si>
    <t xml:space="preserve">        6150 Classified salaries</t>
  </si>
  <si>
    <t xml:space="preserve">        6200 Employee benefits</t>
  </si>
  <si>
    <t xml:space="preserve">        6450 Construction services</t>
  </si>
  <si>
    <t xml:space="preserve">        6655 Short-term noninstructional software subscription</t>
  </si>
  <si>
    <t xml:space="preserve">        6710 Land and improvements</t>
  </si>
  <si>
    <t xml:space="preserve">        6720 Buildings and improvements</t>
  </si>
  <si>
    <t xml:space="preserve">        673X Furniture and equipment</t>
  </si>
  <si>
    <t xml:space="preserve">        673X Technology hardware &amp; software</t>
  </si>
  <si>
    <t xml:space="preserve">        6831, 6832, 6833 redemption of principal</t>
  </si>
  <si>
    <t xml:space="preserve">        6841, 6842, 6843, 6850, 6860 Interest and debt-issuance costs</t>
  </si>
  <si>
    <t xml:space="preserve">       New construction</t>
  </si>
  <si>
    <t>210 ESEA Title VI - flexibility and accountability</t>
  </si>
  <si>
    <t>From supplement, line 10 and line 20, respectively.</t>
  </si>
  <si>
    <t>DAA adjustment (from BSA55 tab, page 4)</t>
  </si>
  <si>
    <t xml:space="preserve">Tuition revenue (A.R.S. §§15-823 and 15-824) </t>
  </si>
  <si>
    <t>Individuals and other private sources</t>
  </si>
  <si>
    <t>Desegregation expenditures (A.R.S. §15-910.G-K)</t>
  </si>
  <si>
    <t xml:space="preserve">Unexpended budget balance in Fund 610 (line 5 minus 6) If negative, use zero in </t>
  </si>
  <si>
    <t xml:space="preserve">      2700 Student transportation </t>
  </si>
  <si>
    <t>Supplement to School District Annual Expenditure Budget for Districts that Budget for English Language Learners 
 (A.R.S. §§15-756.04 and 15-756.11)</t>
  </si>
  <si>
    <t>at the District office, telephone</t>
  </si>
  <si>
    <t>3.  Budgeted expenditures and budget limits:</t>
  </si>
  <si>
    <t>100 Regular education</t>
  </si>
  <si>
    <t xml:space="preserve">      2600 Oper./maint. of plant</t>
  </si>
  <si>
    <t xml:space="preserve">   3000 Oper. Of noninstructional services</t>
  </si>
  <si>
    <t>610 School-sponsored cocurric. activities</t>
  </si>
  <si>
    <t>620 School-sponsored athletics</t>
  </si>
  <si>
    <t>630, 700, 800, 900 Other programs</t>
  </si>
  <si>
    <t xml:space="preserve">   Regular education subsection subtotal </t>
  </si>
  <si>
    <t xml:space="preserve">   3000 Oper. of noninstructional services</t>
  </si>
  <si>
    <t xml:space="preserve">   Special education subsection subtotal </t>
  </si>
  <si>
    <t>540 Joint career and technical education</t>
  </si>
  <si>
    <t>550 K-3 reading program</t>
  </si>
  <si>
    <t>Budgeted expenditures</t>
  </si>
  <si>
    <t xml:space="preserve">Joint career and technical education and vocational education center </t>
  </si>
  <si>
    <t>Desegregation, dropout prevention, and joint career and technical education and vocational education center</t>
  </si>
  <si>
    <t>Excess over Truth in Taxation limit  (1)</t>
  </si>
  <si>
    <t>of the budget pursuant to A.R.S. §15-907 (1)</t>
  </si>
  <si>
    <t>If an amount on line 11, 12, or 13 is greater than zero, the district must publish a Truth in Taxation hearing notice as described in A.R.S. §15-905.01.</t>
  </si>
  <si>
    <t>Support level weight</t>
  </si>
  <si>
    <t>Student count 100.000-499.999</t>
  </si>
  <si>
    <t>Student count</t>
  </si>
  <si>
    <t>Adjusted support level weight</t>
  </si>
  <si>
    <t>Student count 500.000-599.999</t>
  </si>
  <si>
    <t xml:space="preserve">Student count </t>
  </si>
  <si>
    <t>Student count 600.000 or more</t>
  </si>
  <si>
    <t>Portion of BSL/BRCL from total K-3 and total K-3 reading weighted student counts:</t>
  </si>
  <si>
    <t>DAA per student count</t>
  </si>
  <si>
    <t>Support level amount</t>
  </si>
  <si>
    <t>Budget balance (line 7 minus line 8) (if negative, zero is shown. Any negative amount is shown here in parentheses.)</t>
  </si>
  <si>
    <t>Actual budget balance carryforward to be used in M&amp;O Fund (for GBL calculation on page 7, line 8.b)</t>
  </si>
  <si>
    <t xml:space="preserve">Actual budget balance carryforward </t>
  </si>
  <si>
    <t>Adjusted support level weight (See table I at right for calculation)</t>
  </si>
  <si>
    <t xml:space="preserve">Base level amount </t>
  </si>
  <si>
    <t>Budgeted carryforward</t>
  </si>
  <si>
    <t>Budget limit</t>
  </si>
  <si>
    <t xml:space="preserve">Comments on average salary calculation (optional): </t>
  </si>
  <si>
    <t>610 School-sponsored cocurricular activities</t>
  </si>
  <si>
    <t>510 Desegregation (from districtwide Desegregation</t>
  </si>
  <si>
    <t xml:space="preserve">    education center </t>
  </si>
  <si>
    <t>Teacher-pupil 1 to</t>
  </si>
  <si>
    <t>Staff-pupil  1 to</t>
  </si>
  <si>
    <t>Special education programs by type (M&amp;O Fund programs 200 and 300)</t>
  </si>
  <si>
    <t>Amount budgeted in M&amp;O for food service (fund 001, function 3100)</t>
  </si>
  <si>
    <t>Classroom Site Fund budget limit calculation</t>
  </si>
  <si>
    <t>Unrestricted Capital Outlay override  (1)</t>
  </si>
  <si>
    <t>Total fund expenditures</t>
  </si>
  <si>
    <t>Select object codes detail (1)</t>
  </si>
  <si>
    <t>220 IDEA Part B</t>
  </si>
  <si>
    <t>240 Workforce Investment Act</t>
  </si>
  <si>
    <t>100-130 ESEA Title I - Helping Disadvantaged Children</t>
  </si>
  <si>
    <t>140-150 ESEA Title II - Prof. Dev. and Technology</t>
  </si>
  <si>
    <t>160 ESEA Title IV - 21st Century Schools</t>
  </si>
  <si>
    <t>170-180 ESEA Title V - Promote Informed Parent Choice</t>
  </si>
  <si>
    <t>190 ESEA Title III - Limited Eng. &amp; Immigrant Students</t>
  </si>
  <si>
    <t>200 ESEA Title VII - Indian Education</t>
  </si>
  <si>
    <t xml:space="preserve">300-399 Other Federal projects </t>
  </si>
  <si>
    <t>699 Federal Impact Aid (construction)</t>
  </si>
  <si>
    <t>400 Vocational education</t>
  </si>
  <si>
    <t>420 Ext. school yr. - pupils with disabilities</t>
  </si>
  <si>
    <t>425 Adult basic education</t>
  </si>
  <si>
    <t>Total Federal project funds (lines 1-20)</t>
  </si>
  <si>
    <t>450 Gifted education</t>
  </si>
  <si>
    <t>435 Academic contests</t>
  </si>
  <si>
    <t>430 Chemical abuse prevention programs</t>
  </si>
  <si>
    <t>456 College credit exam incentives</t>
  </si>
  <si>
    <t>Other State projects</t>
  </si>
  <si>
    <t>Total State project funds (lines 22-31)</t>
  </si>
  <si>
    <t>Total special projects (lines 21 and 32)</t>
  </si>
  <si>
    <t>Instructional Improvement Fund expenditures (020)</t>
  </si>
  <si>
    <t>Teacher compensation increases</t>
  </si>
  <si>
    <t>Class size reduction</t>
  </si>
  <si>
    <t>Dropout prevention programs (M&amp;O purposes)</t>
  </si>
  <si>
    <t>Instructional improvement programs (M&amp;O purposes)</t>
  </si>
  <si>
    <t>Small schoool adjustment for Districts with a student count of 125 or less in K-8 or 100 or less in 9-12 (A.R.S. §15-949) (Up to $50,000 if no election is chosen for phase down, see Calculations page, Calculation of small school adjustment phase down limit, line 6)</t>
  </si>
  <si>
    <t>Other Arizona districts</t>
  </si>
  <si>
    <t>Out-of-state districts and other governments</t>
  </si>
  <si>
    <t>State Assistance (A.R.S. §15-976) and special ed. voucher payments received (A.R.S. §15-1204)</t>
  </si>
  <si>
    <t>[not to exceed amount on Calculations page, Calculation of M&amp;O Fund budget balance carryforward, line 15(e)]  (A.R.S. §15-974.B)</t>
  </si>
  <si>
    <t>Budget increase for:</t>
  </si>
  <si>
    <t>Increase authorized by County School Superintendent for accommodation schools</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</si>
  <si>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</si>
  <si>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</si>
  <si>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</si>
  <si>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Joint career and technical education and vocational education center (A.R.S. §15-910.01)</t>
  </si>
  <si>
    <t>Calculation of M&amp;O Fund budget balance carryforward, line 10.e) (A.R.S. §15-920)</t>
  </si>
  <si>
    <t>Excessive property tax assessed valuation judgments (A.R.S. §§42-16213 and 42-16214)</t>
  </si>
  <si>
    <t>Transportation revenues for attendance of nonresident pupils (A.R.S. §§15-923 and 15-947)</t>
  </si>
  <si>
    <t>Decrease for transfer from M&amp;O to Energy and Water Savings Fund</t>
  </si>
  <si>
    <t>Increase for Energy and Water Savings Fund transfer to M&amp;O</t>
  </si>
  <si>
    <t>Noncompliance adjustment</t>
  </si>
  <si>
    <t>ADM/Transportation audit adjustment</t>
  </si>
  <si>
    <t>Subject to adjustment prior to May 15 as allowed by A.R.S. revisions are described in the instructions for these lines, as needed.</t>
  </si>
  <si>
    <t>Total UCBL adjustment for prior years as notified by ADE on BUDG75 report (for budget</t>
  </si>
  <si>
    <t>Total (lines 1-9) (to Budget, Page 6, Other funds, line 2)</t>
  </si>
  <si>
    <t>Total (lines 11-19) (to Budget, Page 6, Other funds, line 3)</t>
  </si>
  <si>
    <t>1.  Average daily membership:</t>
  </si>
  <si>
    <t>2.  Tax rates:</t>
  </si>
  <si>
    <r>
      <t>Secondary rate (</t>
    </r>
    <r>
      <rPr>
        <sz val="8"/>
        <color indexed="8"/>
        <rFont val="Times New Roman"/>
        <family val="1"/>
      </rPr>
      <t>voter-approved overrides, bonds, and career technical education districts, and desegregation, if applicable)</t>
    </r>
  </si>
  <si>
    <t>Maintenance and Operation expenditures</t>
  </si>
  <si>
    <t>Salaries and benefits</t>
  </si>
  <si>
    <t>prior FY</t>
  </si>
  <si>
    <t xml:space="preserve">       and vocational education center</t>
  </si>
  <si>
    <t>Total budget limit expenditures</t>
  </si>
  <si>
    <t>From page 6, other funds</t>
  </si>
  <si>
    <t>The table below calculates the total amount shown on the total expenditures by fund, other line.  This table does not need to be printed as an official part of the budget forms.</t>
  </si>
  <si>
    <t>M&amp;O Fund special education programs by type</t>
  </si>
  <si>
    <t xml:space="preserve"> prior FY</t>
  </si>
  <si>
    <t>Purchased services personnel  FTE</t>
  </si>
  <si>
    <t>Staff type</t>
  </si>
  <si>
    <t>Staff-pupil ratio</t>
  </si>
  <si>
    <t>Special revenue</t>
  </si>
  <si>
    <t>Capital projects</t>
  </si>
  <si>
    <t>Calculations for Truth in Taxation notice</t>
  </si>
  <si>
    <t>$10,000 is used in these calculations to determine the amounts to include on the Truth in Taxation hearing notice for a $100,000 home, as property taxes on residential properties are levied at 10% of the assessed valuation per A.R.S. §42-15003.</t>
  </si>
  <si>
    <t>District information</t>
  </si>
  <si>
    <t>SELECT from dropdown</t>
  </si>
  <si>
    <t xml:space="preserve">Student information systems (SIS) vendor </t>
  </si>
  <si>
    <t>Accounting information system</t>
  </si>
  <si>
    <t>Bookstore cash receipting system</t>
  </si>
  <si>
    <t>UCO Fund type</t>
  </si>
  <si>
    <t>Check box for type 03 districts that educate high school students.</t>
  </si>
  <si>
    <t>Prior years ADM (A.R.S. §§15-901 and 15-961)</t>
  </si>
  <si>
    <t>Current year ADM (A.R.S. §§15-943 and 15-808)</t>
  </si>
  <si>
    <t>AOI Part-time student count</t>
  </si>
  <si>
    <t>AOI Full-time student count</t>
  </si>
  <si>
    <t>Non-AOI student count</t>
  </si>
  <si>
    <t>Total add-on count (lines 7 through 22)</t>
  </si>
  <si>
    <t>CTED 9th grade funding adjustment [(A.R.S. §15-393(X) through (Z), leave blank for budget adoption]</t>
  </si>
  <si>
    <t>CTED continuation 13th grade funding adjustment  [(A.R.S. §15-393(X) through (Z), leave blank for budget adoption]</t>
  </si>
  <si>
    <t>Other BSL adjustment 1</t>
  </si>
  <si>
    <t>Other BSL adjustment 2</t>
  </si>
  <si>
    <t xml:space="preserve">Special program override </t>
  </si>
  <si>
    <t xml:space="preserve">Joint career and technical education and vocational education center (A.R.S. §15-910.01) </t>
  </si>
  <si>
    <t>Budget balance carryforward transferred to the School Opening Fund (if any)</t>
  </si>
  <si>
    <t>Districts receiving Federal Impact Aid revenues (A.R.S. §15-905.R):</t>
  </si>
  <si>
    <t>Additional number of tuitioned students lost in the second year after the base year (type 05 districts only)</t>
  </si>
  <si>
    <t>Additional number of tuitioned students lost in the third year after the base year (type 05 districts only)</t>
  </si>
  <si>
    <t>Calculation of support level weights (group A weights)</t>
  </si>
  <si>
    <t>Student count 0.001-99.999</t>
  </si>
  <si>
    <t>Career technical education district</t>
  </si>
  <si>
    <t>Support level weight (A.R.S. §15-943.02)</t>
  </si>
  <si>
    <t>Total weighted student count</t>
  </si>
  <si>
    <t>Joint career and technical education and vocational education center</t>
  </si>
  <si>
    <t>Budget balance after deductions (If negative, the district does not have any budget balance to carry forward.)</t>
  </si>
  <si>
    <t>Accommodation district maximum RCL addition that may be authorized by County School Superintendent:</t>
  </si>
  <si>
    <t>K-8 Small school budget override limit (line 1.f x line 1.g) (If less than zero, zero is entered)</t>
  </si>
  <si>
    <t>Maximum percent increase to apply to RCL (.65 minus line 2.e)</t>
  </si>
  <si>
    <t>9-12 Small school budget override limit (line 2.f x line 2.g) (If less than zero, zero is entered)</t>
  </si>
  <si>
    <t>TABLE III: 10% of K-8 Non-qualifying RCL</t>
  </si>
  <si>
    <t>Allowable small school adjustment, subject to an election (line 1.h plus line 2.h plus line 3)</t>
  </si>
  <si>
    <t>Maximum override, subject to an election (greater of line 4 or line 5)</t>
  </si>
  <si>
    <t>Revision instructions</t>
  </si>
  <si>
    <t>Summary of significant changes</t>
  </si>
  <si>
    <r>
      <t>Amounts in the prior year columns should be recorded from the budget columns of the latest revised budget for FY 2026. Amounts should be rounded to the nearest dollar. 
Districts should budget for FY 2027 retirement contributions at the rate of 11.87% and for long term disability at a rate of 0.11% for a total contribution rate of 11.98%. Districts should also budget for any applicable alternative contribution payments to state retirement at a rate of 9.</t>
    </r>
    <r>
      <rPr>
        <strike/>
        <sz val="14"/>
        <rFont val="Times New Roman"/>
        <family val="1"/>
      </rPr>
      <t>4</t>
    </r>
    <r>
      <rPr>
        <sz val="14"/>
        <rFont val="Times New Roman"/>
        <family val="1"/>
      </rPr>
      <t>5%.</t>
    </r>
  </si>
  <si>
    <t>All districts must revise the FY 2027 budget to include the 2026 (prior year) and 2027 (current year) 100th-Day ADM from the applicable year's ADM20 report.</t>
  </si>
  <si>
    <t>District tax rates for FY 2026 should be the actual tax rates set by the County Board of Supervisors in August 2025. Tax rates for FY 2027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</si>
  <si>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Function code 2300, object code 6820-Judgments Against the District should be used to budget for excessive property tax valuation judgments to be paid in FY 2027. This amount should also be included on page 7, line 8(g). Pre-approval by ADE is required. Contact ADE’s School Finance payment team at the email address below.</t>
  </si>
  <si>
    <t>A district authorized by ADE to continue participation in Dropout Prevention Programs for FY 2027 pursuant to Laws 1992, Ch. 305, §32 and Laws 2000, Ch. 398, §2, must budget the additional amount on this line.</t>
  </si>
  <si>
    <t>Line 30 subtotals the FY 2027 M&amp;O Fund budgeted expenditures included in lines 1 through 29. Districts should report any amounts maintained for spending after FY 2027 (budgeted carryforward) in line 31.</t>
  </si>
  <si>
    <t>Report amounts the District estimates it will maintain for spending after FY 2027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</si>
  <si>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Districts participating in the National School Lunch Program are required to budget a portion of their state revenues to support the operation of their food service program. Districts should budget in the M&amp;O Fund any amounts that will be expended during the 2027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</si>
  <si>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Line 9 subtotals the FY 2027 CSF budgeted expenditures included in lines 1 through 8.  Districts should report any amounts maintained for spending after FY 2027 in line 10.</t>
  </si>
  <si>
    <t xml:space="preserve">Some districts have lost CSF budget capacity from budgeting less than the CSFBL in prior years. This line may be used to recapture that budget capacity. Districts should verify any adjustments to the CSF budget limit with ADE's budget team. </t>
  </si>
  <si>
    <t>The amount budgeted in the UCO Fund cannot exceed the Unrestricted Capital Budget Limit (UCBL) on page 8, line 12. The amount budgeted in Fund 610 in FY 2027 will affect the next year’s UCBL. See A.R.S. §15-947(D) and calculation on page 8. ADE uses line 12 to calculate the Budgeted UNR Capital (lesser of page 4 or Budget Limit) in the BUDG25 report.</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</si>
  <si>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2027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</si>
  <si>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2027 BUDG25 Report. The amounts on lines (a) and (b) can be reconciled to page 4 of the district's most recent FY 2027 BSA 55-1 report from ADE.</t>
    </r>
  </si>
  <si>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2026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</si>
  <si>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2026 ending cash balance in the M&amp;O Fund [after the primary tax rate is reduced to zero as required by A.R.S. §15‑481(T)] may be used. A.R.S. §15‑481(P) Note: Districts will not be able to fund an override with Impact Aid monies in FY 2027,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</si>
  <si>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2026 ending cash balance in the M&amp;O and UCO Funds [after the primary tax rate is reduced to zero as required by A.R.S. §15‑481(T)] may be used. A.R.S. §15‑481(S) Note: Districts will not be able to fund an override with Impact Aid monies in FY 2027, as Impact Aid monies are accounted for in the Impact Aid Fund.
The maximum amount a district may request for a capital budget override is 10% of the RCL. A.R.S. §15‑481(AA)</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</si>
  <si>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(2026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</si>
  <si>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2027 ADM15. The work sheets are available on ADE’s website at the link below.</t>
    </r>
  </si>
  <si>
    <t xml:space="preserve">Total amount to be used for capital expenditures (column B, lines 1 through 8) </t>
  </si>
  <si>
    <t>A district authorized by ADE to continue participation in the Dropout Prevention Programs, in accordance with Laws 1992, Ch. 305, §32 and Laws 2000, Ch. 398, §2, for FY 2027 may record on this line an amount not to exceed the amount budgeted for the Dropout Prevention Programs in FY 1991. Districts should not include amounts on this line for expenditures that are to be made from the Impact Aid Fund.</t>
  </si>
  <si>
    <t>A district may budget an amount less than or equal to interest expense for registering warrants or for net interest expense (interest expense minus interest income) on tax anticipation notes outside the FY 2027 RCL, if both of the following conditions apply:
--The County Treasurer pooled all school district monies for investment during FY 2025 as provided in A.R.S. §15‑996.
--For those districts that received state aid in FY 2025, the districts applied for state aid apportionment before the date set as provided in A.R.S. §15‑973.</t>
  </si>
  <si>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2026 BUDG75 Report to determine if revisions are necessary. The amounts on this line cannot exceed the amounts reported on page 2 of the BUDG75 Report.</t>
    </r>
  </si>
  <si>
    <t>Record the amount of any judgments expected to be paid in FY 2026 for an excessive property tax valuation judgment per A.R.S. §§42-16213 and 42-16214. This amount should also be included on page 1, line 4. Pre-approval by ADE is required. Contact ADE's School Finance payment team at the email address below.</t>
  </si>
  <si>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2027 BUDG25, to determine if the amounts should be revised.</t>
    </r>
  </si>
  <si>
    <t>Amount to be used for capital expenditures (from page 7, line 11)</t>
  </si>
  <si>
    <r>
      <rPr>
        <b/>
        <sz val="14"/>
        <rFont val="Times New Roman"/>
        <family val="1"/>
      </rPr>
      <t>Budget Revision</t>
    </r>
    <r>
      <rPr>
        <sz val="14"/>
        <rFont val="Times New Roman"/>
        <family val="1"/>
      </rPr>
      <t xml:space="preserve">
Line 2, if required, should agree to the most recent FY 2026 BUDG75 Report, page 2, “Add to FY27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</si>
  <si>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3 should agree to the most recent FY 2026 BUDG75 Report, page 2 “Unrestricted Capital Available for FY26.”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</si>
  <si>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2026 AFR, less expenditures approved under A.R.S. §15-907 that are in excess of the most recently revised adopted FY 2026 UCO budget (budget page 4, line 10).</t>
    </r>
  </si>
  <si>
    <r>
      <rPr>
        <b/>
        <sz val="14"/>
        <rFont val="Times New Roman"/>
        <family val="1"/>
      </rPr>
      <t>Budget Revision</t>
    </r>
    <r>
      <rPr>
        <sz val="14"/>
        <rFont val="Times New Roman"/>
        <family val="1"/>
      </rPr>
      <t xml:space="preserve">
Line 8 should agree to the actual amount of interest earned on investments as reported on the district’s FY 2026 AFR for the UCO Fund.</t>
    </r>
  </si>
  <si>
    <r>
      <t xml:space="preserve">Record adjustments to the UCBL on these lines. </t>
    </r>
    <r>
      <rPr>
        <b/>
        <sz val="14"/>
        <rFont val="Times New Roman"/>
        <family val="1"/>
      </rPr>
      <t>Districts should contact ADE’s School Finance budget team at the email address below before budgeting an amount on these lines.</t>
    </r>
    <r>
      <rPr>
        <sz val="14"/>
        <rFont val="Times New Roman"/>
        <family val="1"/>
      </rPr>
      <t xml:space="preserve"> If more than 1 year or type of adjustment is recorded for any 1 line, indicate each year and the associated amount for each type of adjustment in the line description, but record only 1 combined amount for all years and types on each line. Record negative amounts in parentheses. If an amount is zero, enter 0 on that line. 
</t>
    </r>
    <r>
      <rPr>
        <sz val="5"/>
        <rFont val="Times New Roman"/>
        <family val="1"/>
      </rPr>
      <t xml:space="preserve">
</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</si>
  <si>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2027 BUDG25, to determine if the amounts should be revised.</t>
    </r>
  </si>
  <si>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2027.</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</si>
  <si>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2027, there were no new monies available for compensatory instruction programs. ADE will allow districts to use the remaining monies but will deduct those amounts from future funding requests for compensatory instruction programs.</t>
  </si>
  <si>
    <t>Districts should report total PSD-12 average daily membership for fiscal year 2026 from the ADM20 report, the report is available on ADE's website. Districts should estimate 2027 current fiscal year ADM.</t>
  </si>
  <si>
    <t>The prior year TNT Base Limit reported on line 1 is the total of the Adjusted FY 2026 TNT Base Limit and the 2026 Excess over TNT Limit. This calculation assumes that the district properly noticed any required TNT Hearing in 2026. If the district reported an amount on the Excess over Truth in Taxation Limit line in 2026 but did not provide the required notification of a TNT hearing, the 2026 Excess over TNT Limit amount should not be added here.</t>
  </si>
  <si>
    <t>Use actual expenditures to date plus estimated amounts for the remainder of FY 2026.</t>
  </si>
  <si>
    <r>
      <t xml:space="preserve">Report FY 2025 final ending fund balances. These balances should include any errors or audit adjustments identified in the District's FY 2025 audit, if applicable. </t>
    </r>
    <r>
      <rPr>
        <u/>
        <sz val="14"/>
        <rFont val="Times New Roman"/>
        <family val="1"/>
      </rPr>
      <t>If the final ending fund balances don't agree with the FY 2025 AFR, the District should revise the AFR and resubmit it to ADE.</t>
    </r>
  </si>
  <si>
    <t>Report FY 2026 revenues and other financing sources. Enter actual amounts to date plus estimated amounts for the remainder of FY 2026, including all FY 2026 amounts that the District anticipates receiving during the encumbrance period.</t>
  </si>
  <si>
    <t>Report FY 2026 expenditures and other financing uses. Enter actual amounts to date plus estimated amounts for the remainder of FY 2026, including all FY 2026 amounts that the District anticipates spending during the encumbrance period.</t>
  </si>
  <si>
    <t>Report FY 2026 estimated nonspendable ending fund balances. These are amounts that cannot be spent because they are either not in spendable form, such as inventories, or are legally or contractually required to be maintained intact.</t>
  </si>
  <si>
    <t xml:space="preserve">Report FY 2026 estimated ending restricted fund balances. These are amounts that have externally imposed restrictions on their usage by creditors (such as through debt covenants), grantors, contributors, laws and regulations of other governments, or by law through constitutional provisions or enabling legislation. </t>
  </si>
  <si>
    <t xml:space="preserve">Report FY 2026 estimated ending committed fund balances. These are amounts that districts can only use for specific purposes pursuant to constraints imposed by the governing board’s formal action. Districts cannot use these amounts for any other purpose unless the governing board removes or changes the specific purpose by taking the same kind of formal action previously used to commit these amounts. Adoption of the annual budget does not constitute a commitment as appropriations lapse at year-end without governing board action. Also includes contractual obligations to the extent that existing resources in the fund have been specifically committed for use in satisfying those contractual requirements. </t>
  </si>
  <si>
    <t>Report FY 2026 estimated ending assigned fund balance. These are the amounts constrained by the District's intent to be used for specific purposes, but that are neither restricted nor committed. The intent should be expressed by the governing board or a body (i.e., budget or finance committee) or official to which the governing board has delegated the authority to assign amounts districts can use for specific purposes.</t>
  </si>
  <si>
    <t>Report FY 2026 estimated ending unassigned fund balance. For the general fund, spendable amounts that are not restricted, committed, or assigned. The general fund is the only fund that may report a positive unassigned fund balance amount. For governmental funds other than the general fund, negative fund balances are reported here if restricted, committed, or assigned amounts exceed total spendable fund balance.</t>
  </si>
  <si>
    <t>Report FY 2026 estimated ending fund balance amounts the District plans to spend to support FY 2027 budgeted spending after using all available FY 2027 revenues. Any nonspendable amounts included in fund balance such as prepaid assets and inventories should be included in this line if the District plans to use them up in FY 2027. Otherwise, such nonspendable assets should be included on line 4(d) based on the District's plan to maintain them in fund balance to be used in a future year, as applicable.</t>
  </si>
  <si>
    <t xml:space="preserve">FY 2025 ADM is used to calculate the district's FY 2027 District Additional Assistance (DAA) growth factor, if any.
Obtain the total ADM amount from the most recent ADE report “Basic Calculations for Equalization Assistance,” BSA 55-1, page 4 of 5, available on ADE's website. </t>
  </si>
  <si>
    <r>
      <t xml:space="preserve">Prior Year ADM
FY 2026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2026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</si>
  <si>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2027.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2027 100th-day ADM as reported on the ADM20 report, available on ADE's website.</t>
    </r>
  </si>
  <si>
    <r>
      <t xml:space="preserve">For budget adoption, districts should estimate the FY 2027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</si>
  <si>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t>FRPL (Free or Reduced-Price Lunch)
Districts may use ADE's FRPL20 - summary ADM and/or FRPL30 - site summary ADM reports in AzEDS to estimate FY 2027 eligible student counts. This weight applies to all students in schools with community eligibility.</t>
  </si>
  <si>
    <t>In accordance with A.R.S. §15-902.04, school districts electing to provide at least 200 days of instruction during FY 2027 must receive approval from ADE prior to June 1, 2026.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</si>
  <si>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As districts mark the proper check boxes on lines 1 through 3 above, the Adjusted FY 2027 Base Level Amount will automatically update to the proper amount to be used on page 2 of the BSA55 tab.</t>
  </si>
  <si>
    <t>Use the FY 2026 “Teacher Experience Index (TEI),” SDER 96, available on ADE’s website at the link below. Districts should print a copy or save an electronic copy for their records.</t>
  </si>
  <si>
    <t>A.R.S. §15-914.F allows districts to increase the BSL if financial and compliance audit costs will be incurred for the budget year. Enter the non-federal FY 2025 audit expenditures from all funds on line 6. Amount entered should agree to the district's FY 2025 AFR.
Do not include costs of consulting or other nonaudit services paid to audit firms (e.g., application fees paid for submission of district's reports to ASBO and GFOA for certification or for the preparation of the Meritorious Budget Award application to ASBO).</t>
  </si>
  <si>
    <t>Enter the FY 2025 federal audit expenditures from all funds (should agree to FY 2025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</si>
  <si>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2025 annual expenditures for bus tokens and passes from the ADE report “Transportation Route Report,” TRAN55-1, available on ADE's website.</t>
  </si>
  <si>
    <t>In accordance with A.R.S. §15-920, districts may budget any unexpended budget balance in the M&amp;O section attributable to the Performance Pay component in its salary schedule from FY 2026 for use in that component in FY 2027. The Performance Pay budget amount is the portion of FY 2026 M&amp;O expenditures budgeted for a performance pay component of the salary schedule shown on the FY 2026 Budget, page 2. Additionally, the amount calculated on this line, is specifically exempt from the RCL and should be entered on the Budget, page 7, line 8(f).</t>
  </si>
  <si>
    <t xml:space="preserve">Districts receiving Impact Aid revenues only:
Include the amount from the most recent FY 2026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2026 encumbrance period and recorded in FY 2027 revenues. </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</si>
  <si>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2027 student count is the 2026 ADM. Districts that activate this checkbox must also complete line 22 below.</t>
  </si>
  <si>
    <t>Base Level Amount (FY27)</t>
  </si>
  <si>
    <t>Calculated Teachers Experience Index (FY26)</t>
  </si>
  <si>
    <t>Applied Teachers Experience Index (FY27)</t>
  </si>
  <si>
    <t xml:space="preserve">          Eligible Students Transported (FY26)</t>
  </si>
  <si>
    <t xml:space="preserve">          Daily Route Miles Per Eligible Student (FY26)</t>
  </si>
  <si>
    <t>Handicapped Extended School Year Mileage (FY26)</t>
  </si>
  <si>
    <t xml:space="preserve">     Districts (FY26)</t>
  </si>
  <si>
    <t>FY27 Transportation Support Level (TSL)</t>
  </si>
  <si>
    <t>FY27 Adjusted Base Support Level (BSL)</t>
  </si>
  <si>
    <t>FY27 Consolidation or Unification Assistance</t>
  </si>
  <si>
    <t>FY27 District Support Level (DSL)</t>
  </si>
  <si>
    <t>FY27 Transportation Revenue Control Limit (TRCL)</t>
  </si>
  <si>
    <t>FY27 Revenue Control Limit (RCL)</t>
  </si>
  <si>
    <t>FY27 Lesser of DSL/RCL</t>
  </si>
  <si>
    <t>FY26 Transportation Revenue Control Limit (TRCL)</t>
  </si>
  <si>
    <t>FY27 TSL</t>
  </si>
  <si>
    <t>FY26 TSL         -</t>
  </si>
  <si>
    <t>Preliminary FY27 TRCL</t>
  </si>
  <si>
    <t>120% of FY27 TRCL</t>
  </si>
  <si>
    <t>FY26 District ADM</t>
  </si>
  <si>
    <t>FY25 District ADM</t>
  </si>
  <si>
    <t>FY27 Calculated DAA Growth Factor</t>
  </si>
  <si>
    <t>FY27 Applied DAA Growth Factor</t>
  </si>
  <si>
    <t>FY26 District High School ADM</t>
  </si>
  <si>
    <t>FY27 Qualifying Levy</t>
  </si>
  <si>
    <t>FY27 Equalization Base</t>
  </si>
  <si>
    <t>FY27 Applied Qualifying Levy</t>
  </si>
  <si>
    <t>FY27 Equalization Assistance</t>
  </si>
  <si>
    <t>FY 2027 Student count (2025 ADM):   .001 - 99.999</t>
  </si>
  <si>
    <t>FY 2027 Student count (2025 ADM):   100.000 - 499.999</t>
  </si>
  <si>
    <t>FY 2027 Student count (2025 ADM):   500.000 - 599.999</t>
  </si>
  <si>
    <t>FY 2027 Student count (2025 ADM):   600.000 or more and career technical education districts</t>
  </si>
  <si>
    <t>General Budget Limit (GBL) (from FY 2026 latest revised budget, page 7, line 11)</t>
  </si>
  <si>
    <t>Adjustments to the GBL (from FY 2026 BUDG75, amount will be zero for budget adoption)</t>
  </si>
  <si>
    <t>FY 2026 M&amp;O Fund actual expenditures (from FY 2026 AFR, amount will be estimated for budget adoption)</t>
  </si>
  <si>
    <t>Note: For lines 10.a through 10.f the FY 2026 actual expenditures are deducted from the budget amount.  If the result is negative, zero is shown.</t>
  </si>
  <si>
    <t>FY 2026 Actual expenditures:</t>
  </si>
  <si>
    <t>Budget balance carryforward transferred to the School Opening Fund (not to exceed the lesser of line 11 or the FY 2026 M&amp;O Fund ending cash balance)</t>
  </si>
  <si>
    <t>M&amp;O Fund cash balance as of June 30, 2026</t>
  </si>
  <si>
    <t>10% of the FY 2027 RCL calculated using the district's 2026 ADM</t>
  </si>
  <si>
    <t>Up to 5% of the FY 2027 RCL calculated pursuant to A.R.S. section 15-482.B</t>
  </si>
  <si>
    <t>FY 2027 Impact Aid revenue</t>
  </si>
  <si>
    <t>Impact Aid revenue deposited in FY 2027 to the Impact Aid Revenue Bond Debt Service Fund for principal and interest payments</t>
  </si>
  <si>
    <t>Impact Aid revenue transferred in FY 2027 to the M&amp;O Fund to provide cash for the TRCL/TSL difference calculated on line 3</t>
  </si>
  <si>
    <t>Impact Aid revenue transferred in FY 2027 to the M&amp;O Fund to reduce or eliminate taxes</t>
  </si>
  <si>
    <t>FY 2026 Ending cash balance in the Impact Aid Fund</t>
  </si>
  <si>
    <t>FY 2027 Amount available to be spent in the Impact Aid Fund  (on page 6, Federal projects line 18)</t>
  </si>
  <si>
    <t>If in FY 2027,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2027 student count is the 2026 ADM.</t>
  </si>
  <si>
    <t>FY 2027 K-8 student count</t>
  </si>
  <si>
    <t>FY 2027 Student count (line 1.b to left)</t>
  </si>
  <si>
    <t>FY 2027 Adjusted support level weight (to line 1.e)</t>
  </si>
  <si>
    <t>FY 2027 9-12 student count</t>
  </si>
  <si>
    <t>FY 2027 Student count (line 2.b to left)</t>
  </si>
  <si>
    <t>FY 2027 Adjusted support level weight (to line 2.e)</t>
  </si>
  <si>
    <t>If in FY 2027,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2027 student count is the 2026 ADM.</t>
  </si>
  <si>
    <t xml:space="preserve">FY 2025 100th-Day ADM </t>
  </si>
  <si>
    <t>FY 2026 100th-Day ADM</t>
  </si>
  <si>
    <t>FY 2027 Estimated non-AOI student count</t>
  </si>
  <si>
    <t>FY 2027 Estimated AOI full-time student count</t>
  </si>
  <si>
    <t>FY 2027 Estimated AOI part-time student count</t>
  </si>
  <si>
    <t>Total FY 2027 estimated student count</t>
  </si>
  <si>
    <t>Adjusted FY 2027 base level amount</t>
  </si>
  <si>
    <t>Actual Teacher Experience Index (TEI) from FY 2026 Teacher Experience Report (if actual TEI is less than 1.0000 use 1.0000) (A.R.S. Section 15-941)</t>
  </si>
  <si>
    <t>FY 2025 actual non-federal audit expenditures from all funds (A.R.S. Section 15-914.F)</t>
  </si>
  <si>
    <t>FY 2025 actual federal audit expenditures from all funds</t>
  </si>
  <si>
    <t>FY 2025 actual total audit expenditures from all funds (line 5 plus line 6)</t>
  </si>
  <si>
    <t>FY 2026 Approved daily route miles</t>
  </si>
  <si>
    <t>Number of eligible students transported in FY 2026</t>
  </si>
  <si>
    <t>FY 2026 Annual expenditure for bus tokens</t>
  </si>
  <si>
    <t>FY 2026 Annual expenditure for bus passes</t>
  </si>
  <si>
    <t>Actual route miles traveled in July and August 2025 to transport pupils w/disabilities for extended school year</t>
  </si>
  <si>
    <t>Estimated route miles traveled in June 2026 to transport pupils w/disabilities for extended school year</t>
  </si>
  <si>
    <t>2026 Primary net assessed valuation (AV)</t>
  </si>
  <si>
    <t>2026 Primary net assessed valuation (AV2)</t>
  </si>
  <si>
    <t>2026 Salt River Project (SRP) valuation</t>
  </si>
  <si>
    <t>2026 Government Property Lease Excise Tax assessed valuation</t>
  </si>
  <si>
    <t>Adjustments to the General Budget Limit (from FY 2026 BUDG75, leave blank for budget adoption)</t>
  </si>
  <si>
    <t>FY 2026 M&amp;O Fund actual expenditures (if any) for:</t>
  </si>
  <si>
    <t>Impact Aid revenue transferred in FY 2027 to the M&amp;O Fund to provide cash for the TRCL/TSL difference</t>
  </si>
  <si>
    <t>Maintenance &amp; Operation (M&amp;O) Fund FY 2026 ending cash balance</t>
  </si>
  <si>
    <t>This tab presents information on the amount and planned use of the District's fund balance to increase transparency and provide decision-makers, other stakeholders, and the public more complete financial information. Other than the FY 2025 ending fund balance amounts, all amounts included on this tab are estimates.</t>
  </si>
  <si>
    <t>A. Estimated FY 2026 fund balances and planned uses in FY 2027 and thereafter</t>
  </si>
  <si>
    <t>FY 2025 final ending fund balance</t>
  </si>
  <si>
    <t>If the final ending fund balance reported above does not agree with the submitted FY 2025 AFR, revise the AFR and resubmit to ADE.</t>
  </si>
  <si>
    <t>FY 2026 activity, year-to-date and estimated through June 30</t>
  </si>
  <si>
    <t>(a) FY 2026 revenues and other financing sources</t>
  </si>
  <si>
    <t>Estimated FY 2026 ending fund balance</t>
  </si>
  <si>
    <t>FY 2026 estimated ending fund balance details and planned uses</t>
  </si>
  <si>
    <t>FY 2027 Truth in Taxation Work Sheet (A.R.S. Section 15-905.01)</t>
  </si>
  <si>
    <t>FY 2027 Truth in Taxation base limit (from FY 2026 TNT work sheet, line 3 + line 11)</t>
  </si>
  <si>
    <t>Adjusted FY 2027 TNT base limit</t>
  </si>
  <si>
    <t>FY 2027 Budgeted expenditures</t>
  </si>
  <si>
    <t>Adjustments for FY 2026 expenditures</t>
  </si>
  <si>
    <t>FY 2026 Total actual expenditures for programs above</t>
  </si>
  <si>
    <t>Sum of FY 2026 original budget amounts for programs above (from FY 2026 TNT work sheet, sum of lines 4, 5, and 6)</t>
  </si>
  <si>
    <t>FY 2026 final budget for small school adjustment</t>
  </si>
  <si>
    <t>FY 2026 original budget for small school adjustment (from FY 2026 TNT work sheet, line 7)</t>
  </si>
  <si>
    <t>Amount to be levied in FY 2027 for Adjacent Way</t>
  </si>
  <si>
    <t>Amount to be levied in FY 2027 for liabilities in excess</t>
  </si>
  <si>
    <t>County for fiscal year 2027 was officially</t>
  </si>
  <si>
    <t>2025 ADM</t>
  </si>
  <si>
    <t>2026 ADM</t>
  </si>
  <si>
    <t>2027 ADM</t>
  </si>
  <si>
    <t>1. Average salary of all teachers employed in FY 2027 (budget year)</t>
  </si>
  <si>
    <t>2. Average salary of all teachers employed in FY 2026 (prior year)</t>
  </si>
  <si>
    <t>Maintained for spending after FY 2027 (budgeted carryforward)</t>
  </si>
  <si>
    <t>Calculation of FY 2027 Unrestricted Capital Budget Limit
(A.R.S. Section 15-947.D)</t>
  </si>
  <si>
    <t>FY 2026 Unrestricted Capital Budget Limit (UCBL)</t>
  </si>
  <si>
    <t xml:space="preserve">  (from FY 2026 latest revised Budget, page 8, line 12)</t>
  </si>
  <si>
    <t>Adjusted amount available for FY 2026 capital expenditures (line 1 + 2)</t>
  </si>
  <si>
    <t>FY 2026 Fund 610 actual expenditures  (for budget adoption use actual expenditures</t>
  </si>
  <si>
    <t>Interest earned in Fund 610 in FY 2026</t>
  </si>
  <si>
    <t>Adjustment to UCBL for FY 2027 (A.R.S. section 15-905.M) Include year(s) and descriptions, as applicable.</t>
  </si>
  <si>
    <t>FY 2027 Unrestricted Capital Budget Limit (lines 7 through 11) (1)</t>
  </si>
  <si>
    <t xml:space="preserve">FY 2027 Revenue Control Limit (RCL) </t>
  </si>
  <si>
    <t>Calculation of FY 2027 General Budget Limit</t>
  </si>
  <si>
    <t>FY 2027 district additional assistance (DAA)  (from BSA55 tab, page 4)</t>
  </si>
  <si>
    <t>FY 2027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</si>
  <si>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2025 (A.R.S. Section 15-910.M, as amended by Laws 2022, Ch. 285, §3)</t>
  </si>
  <si>
    <t>FY 2026 Performance pay unexpended budget carryforward (from Calculation page,</t>
  </si>
  <si>
    <t>FY 2027 General Budget Limit (column A, lines 1 through 9)</t>
  </si>
  <si>
    <t>FY 2027 Classroom Site Fund allocation, provided by ADE based on:</t>
  </si>
  <si>
    <t xml:space="preserve">     3300 Community services operations </t>
  </si>
  <si>
    <t>FY 2026 Classroom Site Fund budget limit (from FY 2026 latest revised budget, page 3, line 16)</t>
  </si>
  <si>
    <t>FY 2026 actual expenditures (for budget adoption use actual expenditures to date plus estimated expenditures through fiscal year-end.)</t>
  </si>
  <si>
    <t>Interest earned in the Classroom Site Fund in FY 2026</t>
  </si>
  <si>
    <t>Adjustments to FY 2027 Classroom Site Fund budget limit (1)</t>
  </si>
  <si>
    <t>FY 2027 Classroom Site Fund budget limit (Sum of lines 12 through 17) (2)</t>
  </si>
  <si>
    <t>FY 2027 performance pay (A.R.S. Section 15-920)</t>
  </si>
  <si>
    <t xml:space="preserve">Total budgeted revenues for fiscal year 2026                          $ </t>
  </si>
  <si>
    <t>Estimated revenues by source for fiscal year 2027 (excluding property taxes)</t>
  </si>
  <si>
    <t>We hereby certify that the Budget for the Fiscal Year 2027 was</t>
  </si>
  <si>
    <t>Prior FY 2026</t>
  </si>
  <si>
    <t>Est. Budget FY 2027</t>
  </si>
  <si>
    <t>The FY 2027 budget file for the version described above will be uploaded via</t>
  </si>
  <si>
    <t>Average salary of all teachers employed in FY 2027 (budget year)</t>
  </si>
  <si>
    <t>Average salary of all teachers employed in FY 2026 (prior year)</t>
  </si>
  <si>
    <t>(2) Amount budgeted on line 1 for the Adjacent Ways Fund that will result in a tax levy in FY 2027</t>
  </si>
  <si>
    <t xml:space="preserve"> FY 2027 Legislative amounts</t>
  </si>
  <si>
    <r>
      <t xml:space="preserve">0.5 mile or less  </t>
    </r>
    <r>
      <rPr>
        <b/>
        <sz val="9"/>
        <rFont val="Times New Roman"/>
        <family val="1"/>
      </rPr>
      <t>OR</t>
    </r>
    <r>
      <rPr>
        <sz val="9"/>
        <rFont val="Times New Roman"/>
        <family val="1"/>
      </rPr>
      <t xml:space="preserve">  more than 1.0 mile</t>
    </r>
  </si>
  <si>
    <t>Classroom Site Fund allocation (March 30, 2026, JLBC CSF estimates memorandum)</t>
  </si>
  <si>
    <t>Line 10 subtotals the FY 2027 UCO Fund budgeted expenditures included in lines 2 through 9. Report amounts the District estimates it will maintain for spending after FY 2027 (carryforward) in line 11.</t>
  </si>
  <si>
    <t>Budgeted expenditures related to monies remaining in Fund 080—Student Success Fund should be reported on line 34—Other, along with any other funds not included elsewhere in the budget.</t>
  </si>
  <si>
    <r>
      <t xml:space="preserve">Districts should not include amounts on this line for expenditures that are to be made from the Impact Aid Fund.
</t>
    </r>
    <r>
      <rPr>
        <b/>
        <sz val="14"/>
        <rFont val="Times New Roman"/>
        <family val="1"/>
      </rPr>
      <t>Budget Revision</t>
    </r>
    <r>
      <rPr>
        <sz val="14"/>
        <rFont val="Times New Roman"/>
        <family val="1"/>
      </rPr>
      <t xml:space="preserve">
If the June 30, 2026, actual cash balance for the M&amp;O Fund was incorrectly estimated, an accommodation school district must complete and submit a revised budget file, even if the amount recorded on line 7 of the adopted budget is not revised. If the June 30, 2026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2026 BUDG75 Report. 
Record the district’s actual cash balance for the M&amp;O Fund at June 30, 2026,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</si>
  <si>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t>All districts must complete the Truth in Taxation Work Sheet to calculate the district’s truth in taxation base limit, to determine if a hearing is required, and to report the portion of the FY 2027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2027 expenditure budget forms and A.R.S. §15-905.01 for further requirements.</t>
  </si>
  <si>
    <r>
      <t xml:space="preserve">G (Educational Programs for Gifted Pupils)
Districts may use ADE's GIFT20-summary ADM reports in AzEDS to estimate FY 2027 eligible student counts.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</si>
  <si>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r>
      <t xml:space="preserve">For budget adoption, M&amp;O actual expenditures should be based upon the FY 2026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2026 AFR.</t>
    </r>
  </si>
  <si>
    <t>FY 2026 Budget</t>
  </si>
  <si>
    <t>Base level amount (A.R.S. §15-901, includes 2.0% minimum required adjustment in JLBC's FY 2027 Baseline Budget Book)</t>
  </si>
  <si>
    <t>State support level per route mile (A.R.S. §15-945, includes 2.0% minimum required adjustment in JLBC's FY 2027 Baseline Budget Book)</t>
  </si>
  <si>
    <t>(b) FY 2026 expenditures and other financing uses</t>
  </si>
  <si>
    <t>(c) Planned to be spent in FY 2027</t>
  </si>
  <si>
    <t>(d) Maintained for spending after FY 2027</t>
  </si>
  <si>
    <r>
      <t xml:space="preserve">Report amounts the District estimates it will maintain for spending after FY 2027,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the amounts maintained for spending after FY 2027 on the Fund balances tab may agree to the budgeted carryforward amount on Pages 1, 3, and 4 depending on the District's circumstances. Districts must report the fund type for the UCO fund on the Data Entry tab.</t>
    </r>
  </si>
  <si>
    <t>(from FY 2026 latest revised budget, page 4, line 12)</t>
  </si>
  <si>
    <t>Total budget limit expenditures in Fund 610 in FY 2026</t>
  </si>
  <si>
    <t>Total budget limit expenditures in the M&amp;O Fund (from FY 2026 latest revised Budget, page 1, line 32, total budget year column)</t>
  </si>
  <si>
    <t>Qualifying tax rate for elementary or secondary (CTEDs use 0.05) (March 16, 2026, JLBC TNT rate memorandum)</t>
  </si>
  <si>
    <t>Capital Projects</t>
  </si>
  <si>
    <t>Stanfield Elementary School District</t>
  </si>
  <si>
    <t>Pinal</t>
  </si>
  <si>
    <t>110424000</t>
  </si>
  <si>
    <t>Proposed</t>
  </si>
  <si>
    <t>Jennifer Murrieta</t>
  </si>
  <si>
    <t>Jennifer Norred</t>
  </si>
  <si>
    <t>520-424-0227</t>
  </si>
  <si>
    <t>jnorred@roadrunners24.net</t>
  </si>
  <si>
    <t>Stanfield Elementary</t>
  </si>
  <si>
    <t>N/A</t>
  </si>
  <si>
    <t>June 24,2026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</si>
</sst>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4">
    <font>
      <sz val="12"/>
      <name val="Arial"/>
      <family val="2"/>
    </font>
    <font>
      <sz val="11"/>
      <color theme="1"/>
      <name val="Calibri"/>
      <family val="2"/>
      <scheme val="minor"/>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sz val="9"/>
      <color theme="1"/>
      <name val="Arial MT"/>
      <family val="2"/>
    </font>
    <font>
      <sz val="14"/>
      <color rgb="FFFF0000"/>
      <name val="Times New Roman"/>
      <family val="1"/>
    </font>
    <font>
      <strike/>
      <sz val="9"/>
      <color theme="1"/>
      <name val="Cambria"/>
      <family val="1"/>
    </font>
    <font>
      <strike/>
      <sz val="12"/>
      <name val="Cambria"/>
      <family val="1"/>
    </font>
    <font>
      <sz val="14"/>
      <color rgb="FF000000"/>
      <name val="Times New Roman"/>
      <family val="1"/>
    </font>
    <font>
      <sz val="14"/>
      <color indexed="12"/>
      <name val="Times New Roman"/>
      <family val="1"/>
    </font>
    <font>
      <sz val="9"/>
      <name val="Cambria"/>
      <family val="1"/>
    </font>
    <font>
      <sz val="12"/>
      <name val="Arial"/>
      <family val="2"/>
    </font>
  </fonts>
  <fills count="21">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77111117893003"/>
        <bgColor indexed="64"/>
      </patternFill>
    </fill>
    <fill>
      <patternFill patternType="solid">
        <fgColor theme="0" tint="-0.14978484450819421"/>
        <bgColor indexed="64"/>
      </patternFill>
    </fill>
    <fill>
      <patternFill patternType="solid">
        <fgColor rgb="FFFDE9D9"/>
        <bgColor indexed="64"/>
      </patternFill>
    </fill>
    <fill>
      <patternFill patternType="solid">
        <fgColor theme="9" tint="0.79985961485641044"/>
        <bgColor indexed="64"/>
      </patternFill>
    </fill>
    <fill>
      <patternFill patternType="solid">
        <fgColor theme="0" tint="-0.1498764000366222"/>
        <bgColor indexed="64"/>
      </patternFill>
    </fill>
    <fill>
      <patternFill patternType="solid">
        <fgColor theme="0" tint="-0.49989318521683401"/>
        <bgColor indexed="64"/>
      </patternFill>
    </fill>
    <fill>
      <patternFill patternType="solid">
        <fgColor theme="1" tint="0.49989318521683401"/>
        <bgColor indexed="64"/>
      </patternFill>
    </fill>
    <fill>
      <patternFill patternType="solid">
        <fgColor rgb="FFD9D9D9"/>
        <bgColor indexed="64"/>
      </patternFill>
    </fill>
    <fill>
      <patternFill patternType="solid">
        <fgColor theme="0" tint="-0.14981536301767021"/>
        <bgColor indexed="64"/>
      </patternFill>
    </fill>
    <fill>
      <patternFill patternType="solid">
        <fgColor theme="9" tint="0.79995117038483843"/>
        <bgColor indexed="64"/>
      </patternFill>
    </fill>
    <fill>
      <patternFill patternType="solid">
        <fgColor rgb="FFF2DCDB"/>
        <bgColor indexed="64"/>
      </patternFill>
    </fill>
    <fill>
      <patternFill patternType="solid">
        <fgColor rgb="FFFFFF00"/>
        <bgColor indexed="64"/>
      </patternFill>
    </fill>
  </fills>
  <borders count="108">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style="thin">
        <color indexed="8"/>
      </top>
      <bottom style="thin">
        <color indexed="8"/>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style="thin">
        <color indexed="8"/>
      </left>
      <right/>
      <top style="thin">
        <color indexed="8"/>
      </top>
      <bottom style="thin">
        <color auto="1"/>
      </bottom>
      <diagonal/>
    </border>
    <border>
      <left style="thin">
        <color theme="1"/>
      </left>
      <right style="thin">
        <color theme="1"/>
      </right>
      <top style="thin">
        <color theme="1"/>
      </top>
      <bottom style="thin">
        <color theme="1"/>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medium">
        <color indexed="8"/>
      </bottom>
      <diagonal/>
    </border>
    <border>
      <left style="thin">
        <color auto="1"/>
      </left>
      <right style="thin">
        <color indexed="8"/>
      </right>
      <top/>
      <bottom style="medium">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s>
  <cellStyleXfs count="31">
    <xf numFmtId="0" fontId="0" fillId="0" borderId="0" applyBorder="0"/>
    <xf numFmtId="9"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0" fontId="123" fillId="0" borderId="0" applyNumberFormat="0" applyFill="0" applyBorder="0">
      <protection locked="0"/>
    </xf>
    <xf numFmtId="0" fontId="123" fillId="0" borderId="0" applyNumberFormat="0" applyFill="0" applyBorder="0">
      <protection locked="0"/>
    </xf>
    <xf numFmtId="0" fontId="27" fillId="0" borderId="0" applyNumberFormat="0" applyFill="0" applyBorder="0">
      <protection locked="0"/>
    </xf>
    <xf numFmtId="0" fontId="123" fillId="0" borderId="0" applyNumberFormat="0" applyFill="0" applyBorder="0">
      <protection locked="0"/>
    </xf>
    <xf numFmtId="0" fontId="123" fillId="0" borderId="0" applyNumberFormat="0" applyFill="0" applyBorder="0">
      <protection locked="0"/>
    </xf>
    <xf numFmtId="0" fontId="123" fillId="0" borderId="0" applyFont="0" applyBorder="0"/>
    <xf numFmtId="177" fontId="19" fillId="2" borderId="0"/>
    <xf numFmtId="0" fontId="18" fillId="2" borderId="0"/>
    <xf numFmtId="0" fontId="20" fillId="2" borderId="0"/>
    <xf numFmtId="0" fontId="20" fillId="2" borderId="0"/>
    <xf numFmtId="0" fontId="35" fillId="2" borderId="0"/>
    <xf numFmtId="0" fontId="35" fillId="2" borderId="0"/>
    <xf numFmtId="0" fontId="35" fillId="2" borderId="0"/>
    <xf numFmtId="0" fontId="18" fillId="2" borderId="0"/>
    <xf numFmtId="0" fontId="35" fillId="2" borderId="0"/>
    <xf numFmtId="0" fontId="35" fillId="2"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10" fillId="0" borderId="0" applyNumberFormat="0" applyFill="0" applyBorder="0">
      <protection locked="0"/>
    </xf>
    <xf numFmtId="0" fontId="111" fillId="0" borderId="0" applyNumberFormat="0" applyFill="0" applyBorder="0" applyAlignment="0" applyProtection="0"/>
    <xf numFmtId="0" fontId="1" fillId="0" borderId="0"/>
    <xf numFmtId="0" fontId="2" fillId="0" borderId="0"/>
    <xf numFmtId="0" fontId="1" fillId="0" borderId="0"/>
  </cellStyleXfs>
  <cellXfs count="1908">
    <xf numFmtId="0" fontId="0" fillId="0" borderId="0" xfId="0"/>
    <xf numFmtId="0" fontId="8" fillId="0" borderId="1" xfId="0" applyFont="1" applyBorder="1" applyAlignment="1">
      <alignment horizontal="center"/>
    </xf>
    <xf numFmtId="49" fontId="114" fillId="4" borderId="0" xfId="8" applyNumberFormat="1" applyFont="1" applyFill="1" applyAlignment="1" applyProtection="1">
      <alignment horizontal="center" vertical="center"/>
    </xf>
    <xf numFmtId="0" fontId="8" fillId="0" borderId="0" xfId="0" applyFont="1" applyAlignment="1">
      <alignment horizontal="left"/>
    </xf>
    <xf numFmtId="0" fontId="8" fillId="0" borderId="2" xfId="0" applyFont="1" applyBorder="1" applyAlignment="1">
      <alignment horizontal="center"/>
    </xf>
    <xf numFmtId="0" fontId="8" fillId="0" borderId="0" xfId="0" applyFont="1" applyAlignment="1">
      <alignment horizontal="center"/>
    </xf>
    <xf numFmtId="37" fontId="8" fillId="0" borderId="3" xfId="0" applyNumberFormat="1" applyFont="1" applyBorder="1" applyAlignment="1" applyProtection="1">
      <alignment horizontal="right"/>
      <protection locked="0"/>
    </xf>
    <xf numFmtId="37" fontId="12" fillId="2" borderId="4" xfId="13" applyNumberFormat="1" applyFont="1" applyBorder="1" applyProtection="1">
      <protection locked="0"/>
    </xf>
    <xf numFmtId="37" fontId="8" fillId="2" borderId="4" xfId="13" applyNumberFormat="1" applyFont="1" applyBorder="1" applyProtection="1">
      <protection locked="0"/>
    </xf>
    <xf numFmtId="3" fontId="8" fillId="0" borderId="5" xfId="0" applyNumberFormat="1" applyFont="1" applyBorder="1" applyProtection="1">
      <protection locked="0"/>
    </xf>
    <xf numFmtId="3" fontId="8" fillId="0" borderId="3" xfId="0" applyNumberFormat="1" applyFont="1" applyBorder="1" applyProtection="1">
      <protection locked="0"/>
    </xf>
    <xf numFmtId="37" fontId="12" fillId="0" borderId="6" xfId="0" applyNumberFormat="1" applyFont="1" applyBorder="1" applyProtection="1">
      <protection locked="0"/>
    </xf>
    <xf numFmtId="37" fontId="8" fillId="0" borderId="3" xfId="0" applyNumberFormat="1" applyFont="1" applyBorder="1" applyProtection="1">
      <protection locked="0"/>
    </xf>
    <xf numFmtId="37" fontId="8" fillId="0" borderId="5" xfId="0" applyNumberFormat="1" applyFont="1" applyBorder="1" applyProtection="1">
      <protection locked="0"/>
    </xf>
    <xf numFmtId="4" fontId="8" fillId="0" borderId="3" xfId="0" applyNumberFormat="1" applyFont="1" applyBorder="1" applyAlignment="1" applyProtection="1">
      <alignment horizontal="right"/>
      <protection locked="0"/>
    </xf>
    <xf numFmtId="0" fontId="8" fillId="0" borderId="0" xfId="0" applyFont="1" applyProtection="1">
      <protection locked="0"/>
    </xf>
    <xf numFmtId="38" fontId="8" fillId="0" borderId="4" xfId="0" applyNumberFormat="1" applyFont="1" applyBorder="1" applyProtection="1">
      <protection locked="0"/>
    </xf>
    <xf numFmtId="174" fontId="8" fillId="0" borderId="5" xfId="0" applyNumberFormat="1" applyFont="1" applyBorder="1" applyProtection="1">
      <protection locked="0"/>
    </xf>
    <xf numFmtId="174" fontId="8" fillId="0" borderId="3" xfId="0" applyNumberFormat="1" applyFont="1" applyBorder="1" applyProtection="1">
      <protection locked="0"/>
    </xf>
    <xf numFmtId="37" fontId="8" fillId="0" borderId="7" xfId="4" applyNumberFormat="1" applyFont="1" applyBorder="1" applyProtection="1">
      <protection locked="0"/>
    </xf>
    <xf numFmtId="49" fontId="8" fillId="0" borderId="0" xfId="0" applyNumberFormat="1" applyFont="1" applyAlignment="1" applyProtection="1">
      <alignment horizontal="left"/>
      <protection locked="0"/>
    </xf>
    <xf numFmtId="37" fontId="8" fillId="0" borderId="7" xfId="0" applyNumberFormat="1" applyFont="1" applyBorder="1" applyProtection="1">
      <protection locked="0"/>
    </xf>
    <xf numFmtId="37" fontId="6" fillId="0" borderId="8" xfId="0" applyNumberFormat="1" applyFont="1" applyBorder="1" applyAlignment="1" applyProtection="1">
      <alignment horizontal="right"/>
      <protection locked="0"/>
    </xf>
    <xf numFmtId="37" fontId="6" fillId="0" borderId="9" xfId="0" applyNumberFormat="1" applyFont="1" applyBorder="1" applyAlignment="1" applyProtection="1">
      <alignment horizontal="right"/>
      <protection locked="0"/>
    </xf>
    <xf numFmtId="37" fontId="4" fillId="0" borderId="10" xfId="0" applyNumberFormat="1" applyFont="1" applyBorder="1" applyProtection="1">
      <protection locked="0"/>
    </xf>
    <xf numFmtId="37" fontId="8" fillId="0" borderId="7" xfId="2" applyNumberFormat="1" applyFont="1" applyBorder="1" applyProtection="1">
      <protection locked="0"/>
    </xf>
    <xf numFmtId="49" fontId="4" fillId="0" borderId="4" xfId="0" applyNumberFormat="1" applyFont="1" applyBorder="1" applyAlignment="1" applyProtection="1">
      <alignment horizontal="center"/>
      <protection locked="0"/>
    </xf>
    <xf numFmtId="37" fontId="6" fillId="0" borderId="11" xfId="0" applyNumberFormat="1" applyFont="1" applyBorder="1" applyAlignment="1" applyProtection="1">
      <alignment horizontal="right"/>
      <protection locked="0"/>
    </xf>
    <xf numFmtId="42" fontId="8" fillId="0" borderId="7" xfId="2" applyNumberFormat="1" applyFont="1" applyBorder="1" applyProtection="1">
      <protection locked="0"/>
    </xf>
    <xf numFmtId="42" fontId="8" fillId="0" borderId="10" xfId="2" applyNumberFormat="1" applyFont="1" applyBorder="1" applyProtection="1">
      <protection locked="0"/>
    </xf>
    <xf numFmtId="42" fontId="4" fillId="0" borderId="4" xfId="0" applyNumberFormat="1" applyFont="1" applyBorder="1" applyProtection="1">
      <protection locked="0"/>
    </xf>
    <xf numFmtId="42" fontId="24" fillId="0" borderId="4" xfId="0" applyNumberFormat="1" applyFont="1" applyBorder="1" applyAlignment="1" applyProtection="1">
      <alignment horizontal="right"/>
      <protection locked="0"/>
    </xf>
    <xf numFmtId="37" fontId="8" fillId="0" borderId="10" xfId="4" applyNumberFormat="1" applyFont="1" applyBorder="1" applyProtection="1">
      <protection locked="0"/>
    </xf>
    <xf numFmtId="0" fontId="15" fillId="0" borderId="10" xfId="0" applyFont="1" applyBorder="1" applyProtection="1">
      <protection locked="0"/>
    </xf>
    <xf numFmtId="42" fontId="8" fillId="0" borderId="10" xfId="0" applyNumberFormat="1" applyFont="1" applyBorder="1" applyAlignment="1" applyProtection="1">
      <alignment horizontal="right"/>
      <protection locked="0"/>
    </xf>
    <xf numFmtId="37" fontId="8" fillId="0" borderId="2" xfId="0" applyNumberFormat="1" applyFont="1" applyBorder="1" applyProtection="1">
      <protection locked="0"/>
    </xf>
    <xf numFmtId="37" fontId="8" fillId="0" borderId="12" xfId="0" applyNumberFormat="1" applyFont="1" applyBorder="1" applyProtection="1">
      <protection locked="0"/>
    </xf>
    <xf numFmtId="4" fontId="8" fillId="0" borderId="5" xfId="0" applyNumberFormat="1" applyFont="1" applyBorder="1" applyProtection="1">
      <protection locked="0"/>
    </xf>
    <xf numFmtId="37" fontId="8" fillId="0" borderId="5" xfId="0" applyNumberFormat="1" applyFont="1" applyBorder="1" applyAlignment="1" applyProtection="1">
      <alignment horizontal="right"/>
      <protection locked="0"/>
    </xf>
    <xf numFmtId="37" fontId="8" fillId="0" borderId="13" xfId="0" applyNumberFormat="1" applyFont="1" applyBorder="1" applyAlignment="1" applyProtection="1">
      <alignment horizontal="right"/>
      <protection locked="0"/>
    </xf>
    <xf numFmtId="37" fontId="8" fillId="0" borderId="13" xfId="0" applyNumberFormat="1" applyFont="1" applyBorder="1" applyProtection="1">
      <protection locked="0"/>
    </xf>
    <xf numFmtId="37" fontId="6" fillId="0" borderId="5" xfId="11" applyNumberFormat="1" applyFont="1" applyBorder="1" applyAlignment="1" applyProtection="1">
      <alignment horizontal="right"/>
      <protection locked="0"/>
    </xf>
    <xf numFmtId="37" fontId="6" fillId="0" borderId="3" xfId="11" applyNumberFormat="1" applyFont="1" applyBorder="1" applyAlignment="1" applyProtection="1">
      <alignment horizontal="right"/>
      <protection locked="0"/>
    </xf>
    <xf numFmtId="37" fontId="4" fillId="0" borderId="14" xfId="0" applyNumberFormat="1" applyFont="1" applyBorder="1" applyAlignment="1" applyProtection="1">
      <alignment horizontal="right"/>
      <protection locked="0"/>
    </xf>
    <xf numFmtId="37" fontId="8" fillId="2" borderId="7" xfId="13" applyNumberFormat="1" applyFont="1" applyBorder="1" applyProtection="1">
      <protection locked="0"/>
    </xf>
    <xf numFmtId="37" fontId="6" fillId="0" borderId="15" xfId="11" applyNumberFormat="1" applyFont="1" applyBorder="1" applyAlignment="1" applyProtection="1">
      <alignment horizontal="right"/>
      <protection locked="0"/>
    </xf>
    <xf numFmtId="3" fontId="8" fillId="0" borderId="16" xfId="0" applyNumberFormat="1" applyFont="1" applyBorder="1" applyProtection="1">
      <protection locked="0"/>
    </xf>
    <xf numFmtId="37" fontId="8" fillId="0" borderId="10" xfId="0" applyNumberFormat="1" applyFont="1" applyBorder="1" applyProtection="1">
      <protection locked="0"/>
    </xf>
    <xf numFmtId="37" fontId="12" fillId="0" borderId="7" xfId="13" quotePrefix="1" applyNumberFormat="1" applyFont="1" applyFill="1" applyBorder="1" applyProtection="1">
      <protection locked="0"/>
    </xf>
    <xf numFmtId="37" fontId="4" fillId="0" borderId="7" xfId="0" applyNumberFormat="1" applyFont="1" applyBorder="1" applyProtection="1">
      <protection locked="0"/>
    </xf>
    <xf numFmtId="37" fontId="6" fillId="0" borderId="17" xfId="0" applyNumberFormat="1" applyFont="1" applyBorder="1" applyAlignment="1" applyProtection="1">
      <alignment horizontal="right"/>
      <protection locked="0"/>
    </xf>
    <xf numFmtId="37" fontId="6" fillId="0" borderId="8" xfId="0" applyNumberFormat="1" applyFont="1" applyBorder="1" applyProtection="1">
      <protection locked="0"/>
    </xf>
    <xf numFmtId="38" fontId="4" fillId="0" borderId="18" xfId="0" applyNumberFormat="1" applyFont="1" applyBorder="1" applyAlignment="1" applyProtection="1">
      <alignment vertical="top"/>
      <protection locked="0"/>
    </xf>
    <xf numFmtId="38" fontId="24" fillId="0" borderId="3" xfId="0" applyNumberFormat="1" applyFont="1" applyBorder="1" applyProtection="1">
      <protection locked="0"/>
    </xf>
    <xf numFmtId="38" fontId="24" fillId="0" borderId="15" xfId="0" applyNumberFormat="1" applyFont="1" applyBorder="1" applyProtection="1">
      <protection locked="0"/>
    </xf>
    <xf numFmtId="37" fontId="6" fillId="0" borderId="19" xfId="0" applyNumberFormat="1" applyFont="1" applyBorder="1" applyProtection="1">
      <protection locked="0"/>
    </xf>
    <xf numFmtId="179" fontId="8" fillId="0" borderId="10" xfId="2" applyNumberFormat="1" applyFont="1" applyBorder="1" applyAlignment="1" applyProtection="1">
      <alignment horizontal="left"/>
      <protection locked="0"/>
    </xf>
    <xf numFmtId="37" fontId="12" fillId="0" borderId="10" xfId="13" quotePrefix="1" applyNumberFormat="1" applyFont="1" applyFill="1" applyBorder="1" applyProtection="1">
      <protection locked="0"/>
    </xf>
    <xf numFmtId="37" fontId="8" fillId="0" borderId="20" xfId="0" applyNumberFormat="1" applyFont="1" applyBorder="1" applyProtection="1">
      <protection locked="0"/>
    </xf>
    <xf numFmtId="0" fontId="8" fillId="0" borderId="21" xfId="0" applyFont="1" applyBorder="1" applyProtection="1">
      <protection locked="0"/>
    </xf>
    <xf numFmtId="0" fontId="6" fillId="0" borderId="21" xfId="0" applyFont="1" applyBorder="1" applyProtection="1">
      <protection locked="0"/>
    </xf>
    <xf numFmtId="39" fontId="8" fillId="0" borderId="9" xfId="0" applyNumberFormat="1" applyFont="1" applyBorder="1" applyProtection="1">
      <protection locked="0"/>
    </xf>
    <xf numFmtId="166" fontId="8" fillId="3" borderId="9" xfId="0" applyNumberFormat="1" applyFont="1" applyFill="1" applyBorder="1" applyProtection="1">
      <protection locked="0"/>
    </xf>
    <xf numFmtId="39" fontId="8" fillId="3" borderId="9" xfId="0" applyNumberFormat="1" applyFont="1" applyFill="1" applyBorder="1" applyProtection="1">
      <protection locked="0"/>
    </xf>
    <xf numFmtId="174" fontId="8" fillId="3" borderId="9" xfId="0" applyNumberFormat="1" applyFont="1" applyFill="1" applyBorder="1" applyProtection="1">
      <protection locked="0"/>
    </xf>
    <xf numFmtId="7" fontId="8" fillId="3" borderId="9" xfId="0" applyNumberFormat="1" applyFont="1" applyFill="1" applyBorder="1" applyProtection="1">
      <protection locked="0"/>
    </xf>
    <xf numFmtId="7" fontId="8" fillId="0" borderId="9" xfId="0" applyNumberFormat="1" applyFont="1" applyBorder="1" applyProtection="1">
      <protection locked="0"/>
    </xf>
    <xf numFmtId="7" fontId="8" fillId="3" borderId="17" xfId="0" applyNumberFormat="1" applyFont="1" applyFill="1" applyBorder="1" applyProtection="1">
      <protection locked="0"/>
    </xf>
    <xf numFmtId="7" fontId="8" fillId="0" borderId="17" xfId="0" applyNumberFormat="1" applyFont="1" applyBorder="1" applyProtection="1">
      <protection locked="0"/>
    </xf>
    <xf numFmtId="37" fontId="14" fillId="0" borderId="3" xfId="15" applyNumberFormat="1" applyFont="1" applyFill="1" applyBorder="1" applyAlignment="1" applyProtection="1">
      <alignment horizontal="right"/>
      <protection locked="0"/>
    </xf>
    <xf numFmtId="37" fontId="14" fillId="0" borderId="5" xfId="15" applyNumberFormat="1" applyFont="1" applyFill="1" applyBorder="1" applyAlignment="1" applyProtection="1">
      <alignment horizontal="right"/>
      <protection locked="0"/>
    </xf>
    <xf numFmtId="37" fontId="14" fillId="0" borderId="9" xfId="15" applyNumberFormat="1" applyFont="1" applyFill="1" applyBorder="1" applyAlignment="1" applyProtection="1">
      <alignment horizontal="right"/>
      <protection locked="0"/>
    </xf>
    <xf numFmtId="37" fontId="14" fillId="0" borderId="22" xfId="15" applyNumberFormat="1" applyFont="1" applyFill="1" applyBorder="1" applyAlignment="1" applyProtection="1">
      <alignment horizontal="right"/>
      <protection locked="0"/>
    </xf>
    <xf numFmtId="0" fontId="6" fillId="0" borderId="9" xfId="0" applyFont="1" applyBorder="1" applyAlignment="1" applyProtection="1">
      <alignment horizontal="center"/>
      <protection locked="0"/>
    </xf>
    <xf numFmtId="37" fontId="8" fillId="0" borderId="15" xfId="0" applyNumberFormat="1" applyFont="1" applyBorder="1" applyProtection="1">
      <protection locked="0"/>
    </xf>
    <xf numFmtId="168" fontId="8" fillId="0" borderId="9" xfId="0" applyNumberFormat="1" applyFont="1" applyBorder="1" applyProtection="1">
      <protection locked="0"/>
    </xf>
    <xf numFmtId="168" fontId="8" fillId="0" borderId="9" xfId="0" applyNumberFormat="1" applyFont="1" applyBorder="1" applyAlignment="1" applyProtection="1">
      <alignment horizontal="right"/>
      <protection locked="0"/>
    </xf>
    <xf numFmtId="166" fontId="8" fillId="0" borderId="9" xfId="0" applyNumberFormat="1" applyFont="1" applyBorder="1" applyProtection="1">
      <protection locked="0"/>
    </xf>
    <xf numFmtId="7" fontId="8" fillId="3" borderId="23" xfId="0" applyNumberFormat="1" applyFont="1" applyFill="1" applyBorder="1" applyProtection="1">
      <protection locked="0"/>
    </xf>
    <xf numFmtId="38" fontId="63" fillId="0" borderId="24" xfId="0" applyNumberFormat="1" applyFont="1" applyBorder="1" applyProtection="1">
      <protection locked="0"/>
    </xf>
    <xf numFmtId="174" fontId="8" fillId="0" borderId="9" xfId="0" applyNumberFormat="1" applyFont="1" applyBorder="1" applyAlignment="1" applyProtection="1">
      <alignment horizontal="right"/>
      <protection locked="0"/>
    </xf>
    <xf numFmtId="174" fontId="8" fillId="0" borderId="9" xfId="0" applyNumberFormat="1" applyFont="1" applyBorder="1" applyProtection="1">
      <protection locked="0"/>
    </xf>
    <xf numFmtId="174" fontId="8" fillId="0" borderId="22" xfId="0" applyNumberFormat="1" applyFont="1" applyBorder="1" applyProtection="1">
      <protection locked="0"/>
    </xf>
    <xf numFmtId="174" fontId="8" fillId="0" borderId="9" xfId="0" applyNumberFormat="1" applyFont="1" applyBorder="1" applyAlignment="1" applyProtection="1">
      <alignment horizontal="right" vertical="top"/>
      <protection locked="0"/>
    </xf>
    <xf numFmtId="174" fontId="8" fillId="0" borderId="9" xfId="0" applyNumberFormat="1" applyFont="1" applyBorder="1" applyAlignment="1" applyProtection="1">
      <alignment vertical="top"/>
      <protection locked="0"/>
    </xf>
    <xf numFmtId="174" fontId="62" fillId="3" borderId="9" xfId="0" applyNumberFormat="1" applyFont="1" applyFill="1" applyBorder="1" applyProtection="1">
      <protection locked="0"/>
    </xf>
    <xf numFmtId="5" fontId="8" fillId="3" borderId="9" xfId="0" applyNumberFormat="1" applyFont="1" applyFill="1" applyBorder="1" applyProtection="1">
      <protection locked="0"/>
    </xf>
    <xf numFmtId="5" fontId="8" fillId="0" borderId="9" xfId="0" applyNumberFormat="1" applyFont="1" applyBorder="1" applyProtection="1">
      <protection locked="0"/>
    </xf>
    <xf numFmtId="37" fontId="8" fillId="0" borderId="16" xfId="0" applyNumberFormat="1" applyFont="1" applyBorder="1" applyProtection="1">
      <protection locked="0"/>
    </xf>
    <xf numFmtId="49" fontId="15" fillId="0" borderId="10" xfId="14" applyNumberFormat="1" applyFont="1" applyFill="1" applyBorder="1" applyAlignment="1" applyProtection="1">
      <alignment horizontal="center"/>
      <protection locked="0"/>
    </xf>
    <xf numFmtId="37" fontId="8" fillId="0" borderId="0" xfId="0" applyNumberFormat="1" applyFont="1" applyProtection="1">
      <protection locked="0"/>
    </xf>
    <xf numFmtId="37" fontId="8" fillId="2" borderId="0" xfId="13" applyNumberFormat="1" applyFont="1" applyProtection="1">
      <protection locked="0"/>
    </xf>
    <xf numFmtId="37" fontId="8" fillId="0" borderId="4" xfId="0" applyNumberFormat="1" applyFont="1" applyBorder="1" applyProtection="1">
      <protection locked="0"/>
    </xf>
    <xf numFmtId="37" fontId="4" fillId="0" borderId="10" xfId="0" applyNumberFormat="1" applyFont="1" applyBorder="1" applyAlignment="1" applyProtection="1">
      <alignment horizontal="right"/>
      <protection locked="0"/>
    </xf>
    <xf numFmtId="37" fontId="6" fillId="2" borderId="5" xfId="11" applyNumberFormat="1" applyFont="1" applyFill="1" applyBorder="1" applyAlignment="1" applyProtection="1">
      <alignment horizontal="right"/>
      <protection locked="0"/>
    </xf>
    <xf numFmtId="44" fontId="8" fillId="0" borderId="9" xfId="2" applyFont="1" applyBorder="1" applyProtection="1"/>
    <xf numFmtId="0" fontId="8" fillId="0" borderId="0" xfId="0" applyFont="1"/>
    <xf numFmtId="0" fontId="3" fillId="0" borderId="0" xfId="0" applyFont="1"/>
    <xf numFmtId="49" fontId="4" fillId="0" borderId="4" xfId="0" applyNumberFormat="1" applyFont="1" applyBorder="1" applyAlignment="1">
      <alignment horizontal="center"/>
    </xf>
    <xf numFmtId="0" fontId="8" fillId="0" borderId="1" xfId="0" applyFont="1" applyBorder="1"/>
    <xf numFmtId="0" fontId="34" fillId="0" borderId="0" xfId="0" applyFont="1"/>
    <xf numFmtId="0" fontId="8" fillId="0" borderId="25" xfId="0" applyFont="1" applyBorder="1"/>
    <xf numFmtId="38" fontId="8" fillId="0" borderId="4" xfId="0" applyNumberFormat="1" applyFont="1" applyBorder="1"/>
    <xf numFmtId="0" fontId="8" fillId="0" borderId="0" xfId="0" applyFont="1" applyAlignment="1">
      <alignment horizontal="centerContinuous"/>
    </xf>
    <xf numFmtId="38" fontId="8" fillId="0" borderId="26" xfId="0" applyNumberFormat="1" applyFont="1" applyBorder="1"/>
    <xf numFmtId="0" fontId="36" fillId="4" borderId="0" xfId="8" applyFont="1" applyFill="1" applyProtection="1"/>
    <xf numFmtId="0" fontId="27" fillId="4" borderId="0" xfId="8" applyFill="1" applyProtection="1"/>
    <xf numFmtId="0" fontId="68" fillId="0" borderId="0" xfId="0" applyFont="1"/>
    <xf numFmtId="174" fontId="8" fillId="0" borderId="0" xfId="0" applyNumberFormat="1" applyFont="1"/>
    <xf numFmtId="173" fontId="8" fillId="0" borderId="0" xfId="0" applyNumberFormat="1" applyFont="1" applyAlignment="1">
      <alignment horizontal="center"/>
    </xf>
    <xf numFmtId="173" fontId="8" fillId="0" borderId="0" xfId="0" applyNumberFormat="1" applyFont="1"/>
    <xf numFmtId="0" fontId="66" fillId="0" borderId="0" xfId="0" applyFont="1"/>
    <xf numFmtId="0" fontId="31" fillId="0" borderId="0" xfId="8" applyFont="1" applyAlignment="1" applyProtection="1">
      <alignment wrapText="1"/>
    </xf>
    <xf numFmtId="0" fontId="8" fillId="0" borderId="2" xfId="0" applyFont="1" applyBorder="1" applyAlignment="1">
      <alignment wrapText="1"/>
    </xf>
    <xf numFmtId="0" fontId="31" fillId="0" borderId="0" xfId="8" applyFont="1" applyFill="1" applyProtection="1"/>
    <xf numFmtId="174" fontId="8" fillId="0" borderId="27" xfId="0" applyNumberFormat="1" applyFont="1" applyBorder="1"/>
    <xf numFmtId="0" fontId="10" fillId="0" borderId="0" xfId="0" applyFont="1"/>
    <xf numFmtId="0" fontId="48" fillId="0" borderId="0" xfId="0" applyFont="1" applyAlignment="1">
      <alignment horizontal="center"/>
    </xf>
    <xf numFmtId="0" fontId="61" fillId="0" borderId="0" xfId="0" applyFont="1"/>
    <xf numFmtId="0" fontId="8" fillId="0" borderId="0" xfId="0" applyFont="1" applyAlignment="1">
      <alignment vertical="top"/>
    </xf>
    <xf numFmtId="0" fontId="8" fillId="0" borderId="0" xfId="0" quotePrefix="1" applyFont="1" applyAlignment="1">
      <alignment horizontal="right"/>
    </xf>
    <xf numFmtId="14" fontId="8" fillId="0" borderId="0" xfId="0" applyNumberFormat="1" applyFont="1" applyAlignment="1">
      <alignment horizontal="left"/>
    </xf>
    <xf numFmtId="14" fontId="8" fillId="0" borderId="2" xfId="0" applyNumberFormat="1" applyFont="1" applyBorder="1" applyAlignment="1">
      <alignment horizontal="center"/>
    </xf>
    <xf numFmtId="165" fontId="8" fillId="0" borderId="0" xfId="0" applyNumberFormat="1" applyFont="1"/>
    <xf numFmtId="0" fontId="8" fillId="0" borderId="0" xfId="0" applyFont="1" applyAlignment="1">
      <alignment horizontal="justify" wrapText="1"/>
    </xf>
    <xf numFmtId="0" fontId="66" fillId="0" borderId="0" xfId="0" quotePrefix="1" applyFont="1"/>
    <xf numFmtId="0" fontId="59" fillId="0" borderId="0" xfId="0" applyFont="1"/>
    <xf numFmtId="37" fontId="8" fillId="0" borderId="4" xfId="0" applyNumberFormat="1" applyFont="1" applyBorder="1"/>
    <xf numFmtId="0" fontId="8" fillId="0" borderId="0" xfId="0" applyFont="1" applyBorder="1" applyAlignment="1">
      <alignment vertical="top"/>
    </xf>
    <xf numFmtId="9" fontId="8" fillId="0" borderId="0" xfId="1" applyFont="1" applyFill="1" applyBorder="1" applyProtection="1"/>
    <xf numFmtId="0" fontId="4" fillId="0" borderId="25" xfId="0" applyFont="1" applyBorder="1"/>
    <xf numFmtId="0" fontId="3" fillId="0" borderId="28" xfId="0" applyFont="1" applyBorder="1"/>
    <xf numFmtId="0" fontId="4" fillId="0" borderId="29" xfId="0" applyFont="1" applyBorder="1"/>
    <xf numFmtId="0" fontId="24" fillId="0" borderId="28" xfId="0" applyFont="1" applyBorder="1"/>
    <xf numFmtId="0" fontId="2" fillId="0" borderId="0" xfId="0" applyFont="1"/>
    <xf numFmtId="0" fontId="24" fillId="0" borderId="0" xfId="0" applyFont="1"/>
    <xf numFmtId="38" fontId="62" fillId="0" borderId="0" xfId="0" applyNumberFormat="1" applyFont="1" applyBorder="1"/>
    <xf numFmtId="0" fontId="54" fillId="0" borderId="0" xfId="0" applyFont="1"/>
    <xf numFmtId="0" fontId="4" fillId="0" borderId="0" xfId="0" applyFont="1"/>
    <xf numFmtId="0" fontId="55" fillId="0" borderId="0" xfId="0" applyFont="1"/>
    <xf numFmtId="0" fontId="56" fillId="0" borderId="0" xfId="0" quotePrefix="1" applyFont="1"/>
    <xf numFmtId="0" fontId="55" fillId="0" borderId="0" xfId="0" applyFont="1" applyAlignment="1">
      <alignment horizontal="center" wrapText="1"/>
    </xf>
    <xf numFmtId="0" fontId="55" fillId="0" borderId="0" xfId="0" applyFont="1" applyAlignment="1">
      <alignment horizontal="center"/>
    </xf>
    <xf numFmtId="0" fontId="55" fillId="0" borderId="0" xfId="0" applyFont="1" applyBorder="1" applyAlignment="1">
      <alignment horizontal="center"/>
    </xf>
    <xf numFmtId="0" fontId="25" fillId="0" borderId="0" xfId="0" applyFont="1" applyAlignment="1">
      <alignment horizontal="justify" vertical="top"/>
    </xf>
    <xf numFmtId="0" fontId="3" fillId="0" borderId="0" xfId="0" applyFont="1" applyBorder="1"/>
    <xf numFmtId="176" fontId="25" fillId="0" borderId="0" xfId="0" applyNumberFormat="1" applyFont="1" applyAlignment="1">
      <alignment horizontal="justify" vertical="top"/>
    </xf>
    <xf numFmtId="0" fontId="34" fillId="0" borderId="0" xfId="0" applyFont="1" applyProtection="1">
      <protection hidden="1"/>
    </xf>
    <xf numFmtId="0" fontId="4" fillId="0" borderId="0" xfId="0" applyFont="1" applyAlignment="1">
      <alignment horizontal="center"/>
    </xf>
    <xf numFmtId="0" fontId="67" fillId="0" borderId="0" xfId="0" applyFont="1"/>
    <xf numFmtId="0" fontId="26" fillId="0" borderId="0" xfId="0" applyFont="1"/>
    <xf numFmtId="0" fontId="5" fillId="0" borderId="0" xfId="0" applyFont="1"/>
    <xf numFmtId="0" fontId="5" fillId="0" borderId="0" xfId="0" applyFont="1" applyAlignment="1">
      <alignment vertical="center"/>
    </xf>
    <xf numFmtId="0" fontId="77" fillId="0" borderId="0" xfId="0" applyFont="1"/>
    <xf numFmtId="0" fontId="5" fillId="0" borderId="0" xfId="0" applyFont="1" applyBorder="1" applyAlignment="1">
      <alignment horizontal="left"/>
    </xf>
    <xf numFmtId="0" fontId="5" fillId="0" borderId="0" xfId="0" applyFont="1" applyBorder="1"/>
    <xf numFmtId="0" fontId="7" fillId="0" borderId="4" xfId="0" applyFont="1" applyBorder="1"/>
    <xf numFmtId="0" fontId="3" fillId="0" borderId="0" xfId="0" applyFont="1" applyAlignment="1">
      <alignment horizontal="centerContinuous"/>
    </xf>
    <xf numFmtId="0" fontId="3" fillId="0" borderId="0" xfId="0" applyFont="1" applyAlignment="1">
      <alignment horizontal="left"/>
    </xf>
    <xf numFmtId="0" fontId="8" fillId="0" borderId="30" xfId="0" applyFont="1" applyBorder="1"/>
    <xf numFmtId="0" fontId="8" fillId="0" borderId="25" xfId="0" applyFont="1" applyBorder="1" applyAlignment="1">
      <alignment horizontal="centerContinuous"/>
    </xf>
    <xf numFmtId="0" fontId="8" fillId="0" borderId="31" xfId="0" applyFont="1" applyBorder="1" applyAlignment="1">
      <alignment horizontal="center"/>
    </xf>
    <xf numFmtId="0" fontId="8" fillId="0" borderId="4" xfId="0" applyFont="1" applyBorder="1" applyAlignment="1">
      <alignment horizontal="centerContinuous"/>
    </xf>
    <xf numFmtId="0" fontId="8" fillId="0" borderId="15" xfId="0" applyFont="1" applyBorder="1"/>
    <xf numFmtId="0" fontId="8" fillId="0" borderId="16" xfId="0" applyFont="1" applyBorder="1" applyAlignment="1">
      <alignment horizontal="centerContinuous"/>
    </xf>
    <xf numFmtId="0" fontId="8" fillId="0" borderId="25" xfId="0" applyFont="1" applyBorder="1" applyAlignment="1">
      <alignment horizontal="center"/>
    </xf>
    <xf numFmtId="0" fontId="8" fillId="0" borderId="31" xfId="0" applyFont="1" applyBorder="1"/>
    <xf numFmtId="0" fontId="3" fillId="0" borderId="16" xfId="0" applyFont="1" applyBorder="1"/>
    <xf numFmtId="0" fontId="3" fillId="0" borderId="4" xfId="0" applyFont="1" applyBorder="1"/>
    <xf numFmtId="0" fontId="8" fillId="0" borderId="4" xfId="0" applyFont="1" applyBorder="1"/>
    <xf numFmtId="0" fontId="8" fillId="0" borderId="5" xfId="0" applyFont="1" applyBorder="1" applyAlignment="1">
      <alignment horizontal="center"/>
    </xf>
    <xf numFmtId="0" fontId="8" fillId="0" borderId="4" xfId="0" applyFont="1" applyBorder="1" applyAlignment="1">
      <alignment horizontal="center"/>
    </xf>
    <xf numFmtId="0" fontId="8" fillId="0" borderId="16" xfId="0" applyFont="1" applyBorder="1" applyAlignment="1">
      <alignment horizontal="center"/>
    </xf>
    <xf numFmtId="4" fontId="8" fillId="0" borderId="15" xfId="0" applyNumberFormat="1" applyFont="1" applyBorder="1"/>
    <xf numFmtId="3" fontId="8" fillId="0" borderId="15" xfId="0" applyNumberFormat="1" applyFont="1" applyBorder="1"/>
    <xf numFmtId="49" fontId="8" fillId="0" borderId="0" xfId="0" applyNumberFormat="1" applyFont="1" applyAlignment="1">
      <alignment horizontal="right"/>
    </xf>
    <xf numFmtId="3" fontId="8" fillId="0" borderId="5" xfId="0" applyNumberFormat="1" applyFont="1" applyBorder="1"/>
    <xf numFmtId="49" fontId="8" fillId="0" borderId="0" xfId="0" applyNumberFormat="1" applyFont="1" applyAlignment="1">
      <alignment horizontal="left"/>
    </xf>
    <xf numFmtId="3" fontId="8" fillId="2" borderId="3" xfId="0" applyNumberFormat="1" applyFont="1" applyFill="1" applyBorder="1"/>
    <xf numFmtId="165" fontId="8" fillId="2" borderId="3" xfId="0" applyNumberFormat="1" applyFont="1" applyFill="1" applyBorder="1"/>
    <xf numFmtId="49" fontId="36" fillId="4" borderId="0" xfId="8" applyNumberFormat="1" applyFont="1" applyFill="1" applyAlignment="1" applyProtection="1">
      <alignment horizontal="right"/>
    </xf>
    <xf numFmtId="49" fontId="8" fillId="0" borderId="2" xfId="0" applyNumberFormat="1" applyFont="1" applyBorder="1" applyAlignment="1">
      <alignment horizontal="right"/>
    </xf>
    <xf numFmtId="49" fontId="8" fillId="0" borderId="2" xfId="0" quotePrefix="1" applyNumberFormat="1" applyFont="1" applyBorder="1" applyAlignment="1">
      <alignment horizontal="right"/>
    </xf>
    <xf numFmtId="0" fontId="62" fillId="0" borderId="2" xfId="0" quotePrefix="1" applyFont="1" applyBorder="1" applyAlignment="1">
      <alignment horizontal="right"/>
    </xf>
    <xf numFmtId="49" fontId="8" fillId="0" borderId="0" xfId="0" quotePrefix="1" applyNumberFormat="1" applyFont="1" applyAlignment="1">
      <alignment horizontal="left"/>
    </xf>
    <xf numFmtId="0" fontId="62" fillId="0" borderId="2" xfId="0" applyFont="1" applyBorder="1" applyAlignment="1">
      <alignment horizontal="right"/>
    </xf>
    <xf numFmtId="4" fontId="8" fillId="0" borderId="3" xfId="0" applyNumberFormat="1" applyFont="1" applyBorder="1" applyAlignment="1">
      <alignment horizontal="right"/>
    </xf>
    <xf numFmtId="0" fontId="8" fillId="0" borderId="16" xfId="0" applyFont="1" applyBorder="1"/>
    <xf numFmtId="49" fontId="8" fillId="0" borderId="4" xfId="0" applyNumberFormat="1" applyFont="1" applyBorder="1" applyAlignment="1">
      <alignment horizontal="right"/>
    </xf>
    <xf numFmtId="4" fontId="8" fillId="2" borderId="3" xfId="0" applyNumberFormat="1" applyFont="1" applyFill="1" applyBorder="1" applyAlignment="1">
      <alignment horizontal="right"/>
    </xf>
    <xf numFmtId="3" fontId="8" fillId="0" borderId="3" xfId="0" applyNumberFormat="1" applyFont="1" applyBorder="1" applyAlignment="1">
      <alignment horizontal="right"/>
    </xf>
    <xf numFmtId="0" fontId="62" fillId="0" borderId="0" xfId="0" applyFont="1" applyAlignment="1">
      <alignment horizontal="right"/>
    </xf>
    <xf numFmtId="49" fontId="8" fillId="0" borderId="32" xfId="0" applyNumberFormat="1" applyFont="1" applyBorder="1" applyAlignment="1">
      <alignment horizontal="right"/>
    </xf>
    <xf numFmtId="165" fontId="8" fillId="2" borderId="15" xfId="0" applyNumberFormat="1" applyFont="1" applyFill="1" applyBorder="1" applyAlignment="1">
      <alignment horizontal="right"/>
    </xf>
    <xf numFmtId="0" fontId="36" fillId="4" borderId="33" xfId="8" quotePrefix="1" applyFont="1" applyFill="1" applyBorder="1" applyAlignment="1" applyProtection="1">
      <alignment horizontal="right" vertical="center"/>
    </xf>
    <xf numFmtId="0" fontId="36" fillId="4" borderId="34" xfId="8" quotePrefix="1" applyFont="1" applyFill="1" applyBorder="1" applyAlignment="1" applyProtection="1">
      <alignment horizontal="right" vertical="center"/>
    </xf>
    <xf numFmtId="0" fontId="4" fillId="0" borderId="0" xfId="0" applyFont="1" applyAlignment="1">
      <alignment horizontal="centerContinuous"/>
    </xf>
    <xf numFmtId="0" fontId="73" fillId="0" borderId="0" xfId="0" applyFont="1" applyBorder="1"/>
    <xf numFmtId="0" fontId="62" fillId="0" borderId="0" xfId="0" applyFont="1" applyBorder="1"/>
    <xf numFmtId="0" fontId="62" fillId="0" borderId="0" xfId="0" applyFont="1"/>
    <xf numFmtId="0" fontId="62" fillId="0" borderId="0" xfId="0" quotePrefix="1" applyFont="1" applyBorder="1" applyAlignment="1">
      <alignment horizontal="right"/>
    </xf>
    <xf numFmtId="0" fontId="74" fillId="0" borderId="0" xfId="8" quotePrefix="1" applyFont="1" applyFill="1" applyBorder="1" applyAlignment="1" applyProtection="1">
      <alignment horizontal="right" vertical="center"/>
    </xf>
    <xf numFmtId="3" fontId="62" fillId="0" borderId="0" xfId="0" applyNumberFormat="1" applyFont="1" applyBorder="1"/>
    <xf numFmtId="0" fontId="62" fillId="0" borderId="0" xfId="0" quotePrefix="1" applyFont="1" applyBorder="1"/>
    <xf numFmtId="0" fontId="73" fillId="0" borderId="0" xfId="0" applyFont="1"/>
    <xf numFmtId="0" fontId="36" fillId="0" borderId="0" xfId="8" quotePrefix="1" applyFont="1" applyFill="1" applyAlignment="1" applyProtection="1">
      <alignment horizontal="right"/>
    </xf>
    <xf numFmtId="0" fontId="8" fillId="0" borderId="0" xfId="0" applyFont="1" applyBorder="1"/>
    <xf numFmtId="0" fontId="8" fillId="0" borderId="0" xfId="0" quotePrefix="1" applyFont="1"/>
    <xf numFmtId="0" fontId="3" fillId="0" borderId="0" xfId="0" applyFont="1" applyAlignment="1">
      <alignment horizontal="right"/>
    </xf>
    <xf numFmtId="0" fontId="9" fillId="0" borderId="0" xfId="0" applyFont="1" applyAlignment="1">
      <alignment horizontal="centerContinuous"/>
    </xf>
    <xf numFmtId="0" fontId="10" fillId="0" borderId="0" xfId="0" applyFont="1" applyAlignment="1">
      <alignment horizontal="center"/>
    </xf>
    <xf numFmtId="0" fontId="65" fillId="4" borderId="0" xfId="8" applyFont="1" applyFill="1" applyProtection="1"/>
    <xf numFmtId="38" fontId="4" fillId="0" borderId="0" xfId="0" applyNumberFormat="1" applyFont="1"/>
    <xf numFmtId="49" fontId="4" fillId="0" borderId="0" xfId="0" applyNumberFormat="1" applyFont="1" applyAlignment="1">
      <alignment horizontal="left"/>
    </xf>
    <xf numFmtId="0" fontId="11" fillId="4" borderId="0" xfId="8" quotePrefix="1" applyFont="1" applyFill="1" applyAlignment="1" applyProtection="1">
      <alignment horizontal="right"/>
    </xf>
    <xf numFmtId="0" fontId="4" fillId="0" borderId="0" xfId="0" applyFont="1" applyAlignment="1">
      <alignment vertical="top"/>
    </xf>
    <xf numFmtId="38" fontId="4" fillId="0" borderId="2" xfId="0" applyNumberFormat="1" applyFont="1" applyBorder="1" applyAlignment="1">
      <alignment vertical="top"/>
    </xf>
    <xf numFmtId="38" fontId="4" fillId="0" borderId="18" xfId="0" applyNumberFormat="1" applyFont="1" applyBorder="1" applyAlignment="1">
      <alignment vertical="top"/>
    </xf>
    <xf numFmtId="164" fontId="4" fillId="0" borderId="0" xfId="0" quotePrefix="1" applyNumberFormat="1" applyFont="1" applyAlignment="1">
      <alignment horizontal="left"/>
    </xf>
    <xf numFmtId="49" fontId="4" fillId="0" borderId="0" xfId="0" applyNumberFormat="1" applyFont="1" applyAlignment="1">
      <alignment horizontal="right"/>
    </xf>
    <xf numFmtId="0" fontId="37" fillId="4" borderId="0" xfId="8" applyFont="1" applyFill="1" applyAlignment="1" applyProtection="1">
      <alignment horizontal="left"/>
    </xf>
    <xf numFmtId="0" fontId="27" fillId="4" borderId="0" xfId="8" applyFill="1" applyAlignment="1" applyProtection="1">
      <alignment horizontal="left"/>
    </xf>
    <xf numFmtId="0" fontId="65" fillId="0" borderId="0" xfId="8" applyFont="1" applyAlignment="1" applyProtection="1">
      <alignment horizontal="left"/>
    </xf>
    <xf numFmtId="38" fontId="59" fillId="0" borderId="0" xfId="0" applyNumberFormat="1" applyFont="1"/>
    <xf numFmtId="164" fontId="4" fillId="0" borderId="0" xfId="0" quotePrefix="1" applyNumberFormat="1" applyFont="1" applyAlignment="1">
      <alignment horizontal="right"/>
    </xf>
    <xf numFmtId="38" fontId="24" fillId="0" borderId="2" xfId="0" applyNumberFormat="1" applyFont="1" applyBorder="1" applyAlignment="1">
      <alignment vertical="top"/>
    </xf>
    <xf numFmtId="38" fontId="24" fillId="0" borderId="3" xfId="0" applyNumberFormat="1" applyFont="1" applyBorder="1" applyAlignment="1">
      <alignment vertical="top"/>
    </xf>
    <xf numFmtId="0" fontId="9" fillId="0" borderId="0" xfId="0" applyFont="1" applyAlignment="1">
      <alignment horizontal="center"/>
    </xf>
    <xf numFmtId="0" fontId="42" fillId="0" borderId="0" xfId="0" applyFont="1" applyAlignment="1">
      <alignment horizontal="center"/>
    </xf>
    <xf numFmtId="164" fontId="11" fillId="4" borderId="0" xfId="8" quotePrefix="1" applyNumberFormat="1" applyFont="1" applyFill="1" applyAlignment="1" applyProtection="1">
      <alignment horizontal="right"/>
    </xf>
    <xf numFmtId="0" fontId="4" fillId="0" borderId="0" xfId="0" quotePrefix="1" applyFont="1"/>
    <xf numFmtId="49" fontId="4" fillId="0" borderId="0" xfId="0" quotePrefix="1" applyNumberFormat="1" applyFont="1" applyAlignment="1">
      <alignment horizontal="right"/>
    </xf>
    <xf numFmtId="38" fontId="24" fillId="0" borderId="15" xfId="0" applyNumberFormat="1" applyFont="1" applyBorder="1" applyAlignment="1">
      <alignment vertical="top"/>
    </xf>
    <xf numFmtId="49" fontId="4" fillId="0" borderId="0" xfId="0" quotePrefix="1" applyNumberFormat="1" applyFont="1"/>
    <xf numFmtId="0" fontId="4" fillId="5" borderId="0" xfId="0" applyFont="1" applyFill="1"/>
    <xf numFmtId="38" fontId="24" fillId="5" borderId="2" xfId="0" applyNumberFormat="1" applyFont="1" applyFill="1" applyBorder="1" applyAlignment="1">
      <alignment vertical="top"/>
    </xf>
    <xf numFmtId="42" fontId="4" fillId="0" borderId="0" xfId="0" applyNumberFormat="1" applyFont="1"/>
    <xf numFmtId="0" fontId="63" fillId="0" borderId="0" xfId="0" quotePrefix="1" applyFont="1" applyAlignment="1">
      <alignment horizontal="right"/>
    </xf>
    <xf numFmtId="168" fontId="4" fillId="0" borderId="0" xfId="0" applyNumberFormat="1" applyFont="1" applyAlignment="1">
      <alignment horizontal="left"/>
    </xf>
    <xf numFmtId="164" fontId="9" fillId="0" borderId="0" xfId="0" applyNumberFormat="1" applyFont="1" applyAlignment="1">
      <alignment horizontal="center"/>
    </xf>
    <xf numFmtId="164" fontId="4" fillId="0" borderId="0" xfId="0" applyNumberFormat="1" applyFont="1" applyAlignment="1">
      <alignment horizontal="right"/>
    </xf>
    <xf numFmtId="49" fontId="4" fillId="0" borderId="0" xfId="0" quotePrefix="1" applyNumberFormat="1" applyFont="1" applyAlignment="1">
      <alignment horizontal="left"/>
    </xf>
    <xf numFmtId="0" fontId="63" fillId="0" borderId="0" xfId="0" applyFont="1"/>
    <xf numFmtId="0" fontId="84" fillId="0" borderId="0" xfId="0" applyFont="1"/>
    <xf numFmtId="0" fontId="33" fillId="0" borderId="0" xfId="0" applyFont="1"/>
    <xf numFmtId="38" fontId="63" fillId="0" borderId="24" xfId="0" applyNumberFormat="1" applyFont="1" applyBorder="1"/>
    <xf numFmtId="49" fontId="63" fillId="0" borderId="0" xfId="0" quotePrefix="1" applyNumberFormat="1" applyFont="1" applyAlignment="1">
      <alignment horizontal="left"/>
    </xf>
    <xf numFmtId="0" fontId="24" fillId="0" borderId="0" xfId="0" applyFont="1" applyAlignment="1">
      <alignment horizontal="left"/>
    </xf>
    <xf numFmtId="0" fontId="24" fillId="0" borderId="0" xfId="0" applyFont="1" applyAlignment="1">
      <alignment horizontal="right" wrapText="1"/>
    </xf>
    <xf numFmtId="0" fontId="17" fillId="0" borderId="0" xfId="0" applyFont="1"/>
    <xf numFmtId="0" fontId="3" fillId="0" borderId="0" xfId="0" quotePrefix="1" applyFont="1"/>
    <xf numFmtId="0" fontId="4" fillId="0" borderId="0" xfId="0" applyFont="1" applyAlignment="1">
      <alignment horizontal="left" vertical="top"/>
    </xf>
    <xf numFmtId="37" fontId="4" fillId="0" borderId="4" xfId="0" applyNumberFormat="1" applyFont="1" applyBorder="1" applyAlignment="1">
      <alignment horizontal="left"/>
    </xf>
    <xf numFmtId="172" fontId="4" fillId="0" borderId="0" xfId="0" applyNumberFormat="1" applyFont="1"/>
    <xf numFmtId="0" fontId="4" fillId="5" borderId="0" xfId="2" applyNumberFormat="1" applyFont="1" applyFill="1" applyAlignment="1" applyProtection="1">
      <alignment horizontal="right"/>
    </xf>
    <xf numFmtId="42" fontId="4" fillId="5" borderId="0" xfId="2" applyNumberFormat="1" applyFont="1" applyFill="1" applyAlignment="1" applyProtection="1">
      <alignment horizontal="right"/>
    </xf>
    <xf numFmtId="0" fontId="5" fillId="5" borderId="0" xfId="0" applyFont="1" applyFill="1" applyAlignment="1">
      <alignment horizontal="right" wrapText="1"/>
    </xf>
    <xf numFmtId="0" fontId="3" fillId="5" borderId="0" xfId="0" applyFont="1" applyFill="1"/>
    <xf numFmtId="0" fontId="3" fillId="0" borderId="0" xfId="0" quotePrefix="1" applyFont="1" applyAlignment="1">
      <alignment horizontal="right"/>
    </xf>
    <xf numFmtId="0" fontId="11" fillId="5" borderId="0" xfId="8" quotePrefix="1" applyFont="1" applyFill="1" applyAlignment="1" applyProtection="1">
      <alignment horizontal="right"/>
    </xf>
    <xf numFmtId="2" fontId="24" fillId="5" borderId="0" xfId="0" applyNumberFormat="1" applyFont="1" applyFill="1" applyAlignment="1">
      <alignment horizontal="right"/>
    </xf>
    <xf numFmtId="37" fontId="24" fillId="5" borderId="0" xfId="0" applyNumberFormat="1" applyFont="1" applyFill="1" applyAlignment="1">
      <alignment horizontal="left"/>
    </xf>
    <xf numFmtId="37" fontId="30" fillId="5" borderId="0" xfId="0" applyNumberFormat="1" applyFont="1" applyFill="1" applyAlignment="1">
      <alignment horizontal="center"/>
    </xf>
    <xf numFmtId="37" fontId="24" fillId="5" borderId="0" xfId="0" applyNumberFormat="1" applyFont="1" applyFill="1" applyAlignment="1">
      <alignment horizontal="right"/>
    </xf>
    <xf numFmtId="170" fontId="24" fillId="5" borderId="0" xfId="0" applyNumberFormat="1" applyFont="1" applyFill="1" applyAlignment="1">
      <alignment horizontal="right"/>
    </xf>
    <xf numFmtId="0" fontId="4" fillId="5" borderId="0" xfId="0" applyFont="1" applyFill="1" applyAlignment="1">
      <alignment horizontal="right"/>
    </xf>
    <xf numFmtId="164" fontId="4" fillId="0" borderId="0" xfId="0" applyNumberFormat="1" applyFont="1" applyAlignment="1">
      <alignment horizontal="center"/>
    </xf>
    <xf numFmtId="0" fontId="4" fillId="5" borderId="0" xfId="0" quotePrefix="1" applyFont="1" applyFill="1" applyAlignment="1">
      <alignment horizontal="right"/>
    </xf>
    <xf numFmtId="0" fontId="4" fillId="0" borderId="0" xfId="0" applyFont="1" applyAlignment="1">
      <alignment horizontal="right" wrapText="1"/>
    </xf>
    <xf numFmtId="0" fontId="6" fillId="0" borderId="0" xfId="0" applyFont="1"/>
    <xf numFmtId="181" fontId="24" fillId="0" borderId="0" xfId="0" applyNumberFormat="1" applyFont="1" applyAlignment="1">
      <alignment horizontal="right"/>
    </xf>
    <xf numFmtId="37" fontId="6" fillId="0" borderId="0" xfId="0" applyNumberFormat="1" applyFont="1"/>
    <xf numFmtId="49" fontId="4" fillId="0" borderId="10" xfId="0" applyNumberFormat="1" applyFont="1" applyBorder="1" applyAlignment="1">
      <alignment horizontal="left"/>
    </xf>
    <xf numFmtId="0" fontId="4" fillId="0" borderId="10" xfId="0" applyFont="1" applyBorder="1" applyAlignment="1">
      <alignment horizontal="left"/>
    </xf>
    <xf numFmtId="0" fontId="4" fillId="0" borderId="10" xfId="0" applyFont="1" applyBorder="1"/>
    <xf numFmtId="0" fontId="9" fillId="0" borderId="10" xfId="0" applyFont="1" applyBorder="1" applyAlignment="1">
      <alignment horizontal="center"/>
    </xf>
    <xf numFmtId="0" fontId="6" fillId="0" borderId="20" xfId="0" applyFont="1" applyBorder="1"/>
    <xf numFmtId="49" fontId="6" fillId="0" borderId="35" xfId="0" applyNumberFormat="1" applyFont="1" applyBorder="1"/>
    <xf numFmtId="49" fontId="6" fillId="0" borderId="20" xfId="0" applyNumberFormat="1" applyFont="1" applyBorder="1" applyAlignment="1">
      <alignment horizontal="centerContinuous"/>
    </xf>
    <xf numFmtId="0" fontId="6" fillId="0" borderId="23" xfId="0" applyFont="1" applyBorder="1" applyAlignment="1">
      <alignment horizontal="centerContinuous"/>
    </xf>
    <xf numFmtId="0" fontId="6" fillId="0" borderId="23" xfId="0" applyFont="1" applyBorder="1" applyAlignment="1">
      <alignment horizontal="center" wrapText="1"/>
    </xf>
    <xf numFmtId="49" fontId="6" fillId="0" borderId="20" xfId="0" applyNumberFormat="1" applyFont="1" applyBorder="1" applyAlignment="1">
      <alignment horizontal="center"/>
    </xf>
    <xf numFmtId="0" fontId="6" fillId="0" borderId="23" xfId="0" applyFont="1" applyBorder="1" applyAlignment="1">
      <alignment horizontal="center"/>
    </xf>
    <xf numFmtId="0" fontId="6" fillId="0" borderId="0" xfId="0" applyFont="1" applyAlignment="1">
      <alignment horizontal="center"/>
    </xf>
    <xf numFmtId="0" fontId="6" fillId="0" borderId="34" xfId="0" applyFont="1" applyBorder="1" applyAlignment="1">
      <alignment horizontal="center"/>
    </xf>
    <xf numFmtId="0" fontId="6" fillId="0" borderId="25" xfId="0" applyFont="1" applyBorder="1"/>
    <xf numFmtId="37" fontId="6" fillId="0" borderId="2" xfId="0" applyNumberFormat="1" applyFont="1" applyBorder="1" applyAlignment="1">
      <alignment horizontal="right"/>
    </xf>
    <xf numFmtId="37" fontId="6" fillId="0" borderId="9" xfId="0" applyNumberFormat="1" applyFont="1" applyBorder="1" applyAlignment="1">
      <alignment horizontal="right"/>
    </xf>
    <xf numFmtId="49" fontId="38" fillId="0" borderId="0" xfId="8" applyNumberFormat="1" applyFont="1" applyAlignment="1" applyProtection="1">
      <alignment horizontal="right"/>
    </xf>
    <xf numFmtId="49" fontId="6" fillId="0" borderId="0" xfId="0" applyNumberFormat="1" applyFont="1" applyAlignment="1">
      <alignment horizontal="left"/>
    </xf>
    <xf numFmtId="0" fontId="0" fillId="0" borderId="0" xfId="0" applyAlignment="1">
      <alignment horizontal="left"/>
    </xf>
    <xf numFmtId="37" fontId="6" fillId="0" borderId="3" xfId="0" applyNumberFormat="1" applyFont="1" applyBorder="1" applyAlignment="1">
      <alignment horizontal="right"/>
    </xf>
    <xf numFmtId="49" fontId="73" fillId="0" borderId="0" xfId="0" applyNumberFormat="1" applyFont="1" applyAlignment="1">
      <alignment horizontal="left"/>
    </xf>
    <xf numFmtId="0" fontId="6" fillId="0" borderId="10" xfId="0" applyFont="1" applyBorder="1"/>
    <xf numFmtId="0" fontId="15" fillId="0" borderId="0" xfId="0" applyFont="1" applyAlignment="1">
      <alignment vertical="top" wrapText="1"/>
    </xf>
    <xf numFmtId="0" fontId="8" fillId="2" borderId="0" xfId="13" applyFont="1"/>
    <xf numFmtId="37" fontId="6" fillId="0" borderId="19" xfId="0" applyNumberFormat="1" applyFont="1" applyBorder="1" applyAlignment="1">
      <alignment horizontal="right"/>
    </xf>
    <xf numFmtId="0" fontId="80" fillId="0" borderId="0" xfId="0" applyFont="1"/>
    <xf numFmtId="0" fontId="81" fillId="0" borderId="0" xfId="0" applyFont="1"/>
    <xf numFmtId="0" fontId="81" fillId="0" borderId="0" xfId="0" applyFont="1" applyAlignment="1">
      <alignment horizontal="right"/>
    </xf>
    <xf numFmtId="37" fontId="81" fillId="0" borderId="0" xfId="0" applyNumberFormat="1" applyFont="1" applyAlignment="1">
      <alignment horizontal="right"/>
    </xf>
    <xf numFmtId="0" fontId="81" fillId="2" borderId="0" xfId="13" applyFont="1"/>
    <xf numFmtId="0" fontId="6" fillId="0" borderId="0" xfId="0" applyFont="1" applyBorder="1"/>
    <xf numFmtId="0" fontId="18" fillId="2" borderId="0" xfId="13"/>
    <xf numFmtId="0" fontId="8" fillId="0" borderId="0" xfId="13" quotePrefix="1" applyFont="1" applyFill="1" applyAlignment="1">
      <alignment horizontal="justify"/>
    </xf>
    <xf numFmtId="0" fontId="6" fillId="0" borderId="0" xfId="0" quotePrefix="1" applyFont="1"/>
    <xf numFmtId="0" fontId="3" fillId="0" borderId="0" xfId="0" applyFont="1" applyAlignment="1">
      <alignment wrapText="1"/>
    </xf>
    <xf numFmtId="0" fontId="0" fillId="0" borderId="0" xfId="0" applyBorder="1" applyAlignment="1">
      <alignment horizontal="left"/>
    </xf>
    <xf numFmtId="0" fontId="4" fillId="0" borderId="10" xfId="0" applyFont="1" applyBorder="1" applyAlignment="1">
      <alignment horizontal="center"/>
    </xf>
    <xf numFmtId="0" fontId="76" fillId="0" borderId="0" xfId="0" applyFont="1"/>
    <xf numFmtId="0" fontId="7" fillId="0" borderId="0" xfId="0" applyFont="1"/>
    <xf numFmtId="0" fontId="8" fillId="0" borderId="36" xfId="0" applyFont="1" applyBorder="1" applyAlignment="1">
      <alignment horizontal="center"/>
    </xf>
    <xf numFmtId="0" fontId="8" fillId="0" borderId="37" xfId="0" applyFont="1" applyBorder="1" applyAlignment="1">
      <alignment horizontal="centerContinuous"/>
    </xf>
    <xf numFmtId="0" fontId="12" fillId="2" borderId="37" xfId="0" applyFont="1" applyFill="1" applyBorder="1" applyAlignment="1">
      <alignment horizontal="centerContinuous"/>
    </xf>
    <xf numFmtId="0" fontId="4" fillId="0" borderId="15" xfId="0" applyFont="1" applyBorder="1" applyAlignment="1">
      <alignment horizontal="center"/>
    </xf>
    <xf numFmtId="0" fontId="8" fillId="0" borderId="5" xfId="0" applyFont="1" applyBorder="1" applyAlignment="1">
      <alignment horizontal="center" wrapText="1"/>
    </xf>
    <xf numFmtId="0" fontId="8" fillId="0" borderId="13" xfId="0" applyFont="1" applyBorder="1" applyAlignment="1">
      <alignment horizontal="center"/>
    </xf>
    <xf numFmtId="0" fontId="9" fillId="0" borderId="38" xfId="0" applyFont="1" applyBorder="1" applyAlignment="1">
      <alignment vertical="center"/>
    </xf>
    <xf numFmtId="0" fontId="9" fillId="0" borderId="37" xfId="0" applyFont="1" applyBorder="1"/>
    <xf numFmtId="49" fontId="8" fillId="0" borderId="4" xfId="0" quotePrefix="1" applyNumberFormat="1" applyFont="1" applyBorder="1" applyAlignment="1">
      <alignment horizontal="right"/>
    </xf>
    <xf numFmtId="37" fontId="8" fillId="0" borderId="3" xfId="0" applyNumberFormat="1" applyFont="1" applyBorder="1" applyAlignment="1">
      <alignment horizontal="right"/>
    </xf>
    <xf numFmtId="37" fontId="8" fillId="0" borderId="15" xfId="0" applyNumberFormat="1" applyFont="1" applyBorder="1" applyAlignment="1">
      <alignment horizontal="right"/>
    </xf>
    <xf numFmtId="49" fontId="8" fillId="0" borderId="25" xfId="0" quotePrefix="1" applyNumberFormat="1" applyFont="1" applyBorder="1" applyAlignment="1">
      <alignment horizontal="left"/>
    </xf>
    <xf numFmtId="0" fontId="9" fillId="0" borderId="25" xfId="0" applyFont="1" applyBorder="1" applyAlignment="1">
      <alignment vertical="center"/>
    </xf>
    <xf numFmtId="49" fontId="8" fillId="0" borderId="0" xfId="0" applyNumberFormat="1" applyFont="1"/>
    <xf numFmtId="37" fontId="8" fillId="0" borderId="15" xfId="0" applyNumberFormat="1" applyFont="1" applyBorder="1"/>
    <xf numFmtId="37" fontId="8" fillId="2" borderId="39" xfId="0" applyNumberFormat="1" applyFont="1" applyFill="1" applyBorder="1"/>
    <xf numFmtId="49" fontId="8" fillId="0" borderId="25" xfId="0" applyNumberFormat="1" applyFont="1" applyBorder="1" applyAlignment="1">
      <alignment horizontal="left"/>
    </xf>
    <xf numFmtId="49" fontId="8" fillId="0" borderId="0" xfId="0" quotePrefix="1" applyNumberFormat="1" applyFont="1" applyAlignment="1">
      <alignment horizontal="right"/>
    </xf>
    <xf numFmtId="37" fontId="8" fillId="0" borderId="30" xfId="0" applyNumberFormat="1" applyFont="1" applyBorder="1"/>
    <xf numFmtId="37" fontId="8" fillId="0" borderId="39" xfId="0" applyNumberFormat="1" applyFont="1" applyBorder="1"/>
    <xf numFmtId="37" fontId="8" fillId="0" borderId="5" xfId="0" applyNumberFormat="1" applyFont="1" applyBorder="1"/>
    <xf numFmtId="37" fontId="8" fillId="6" borderId="3" xfId="0" applyNumberFormat="1" applyFont="1" applyFill="1" applyBorder="1" applyAlignment="1">
      <alignment horizontal="right"/>
    </xf>
    <xf numFmtId="37" fontId="8" fillId="2" borderId="3" xfId="0" applyNumberFormat="1" applyFont="1" applyFill="1" applyBorder="1" applyAlignment="1">
      <alignment horizontal="right"/>
    </xf>
    <xf numFmtId="0" fontId="8" fillId="0" borderId="10" xfId="0" applyFont="1" applyBorder="1"/>
    <xf numFmtId="49" fontId="36" fillId="0" borderId="0" xfId="8" quotePrefix="1" applyNumberFormat="1" applyFont="1" applyAlignment="1" applyProtection="1">
      <alignment horizontal="right"/>
    </xf>
    <xf numFmtId="1" fontId="8" fillId="0" borderId="0" xfId="2" applyNumberFormat="1" applyFont="1" applyProtection="1"/>
    <xf numFmtId="42" fontId="8" fillId="0" borderId="0" xfId="2" applyNumberFormat="1" applyFont="1" applyProtection="1"/>
    <xf numFmtId="37" fontId="8" fillId="0" borderId="7" xfId="2" applyNumberFormat="1" applyFont="1" applyBorder="1" applyProtection="1"/>
    <xf numFmtId="0" fontId="73" fillId="0" borderId="0" xfId="0" applyFont="1" applyAlignment="1">
      <alignment vertical="top" wrapText="1"/>
    </xf>
    <xf numFmtId="42" fontId="8" fillId="0" borderId="0" xfId="0" applyNumberFormat="1" applyFont="1" applyBorder="1" applyAlignment="1">
      <alignment vertical="top" wrapText="1"/>
    </xf>
    <xf numFmtId="49" fontId="8" fillId="0" borderId="0" xfId="0" applyNumberFormat="1" applyFont="1" applyAlignment="1">
      <alignment horizontal="left" vertical="top"/>
    </xf>
    <xf numFmtId="37" fontId="8" fillId="0" borderId="0" xfId="4" applyNumberFormat="1" applyFont="1" applyAlignment="1" applyProtection="1">
      <alignment horizontal="left" vertical="top"/>
    </xf>
    <xf numFmtId="0" fontId="0" fillId="0" borderId="0" xfId="0" applyAlignment="1">
      <alignment horizontal="left" vertical="top"/>
    </xf>
    <xf numFmtId="37" fontId="8" fillId="0" borderId="0" xfId="0" applyNumberFormat="1" applyFont="1" applyAlignment="1">
      <alignment horizontal="left"/>
    </xf>
    <xf numFmtId="0" fontId="15" fillId="0" borderId="0" xfId="11" applyFont="1" applyAlignment="1">
      <alignment horizontal="centerContinuous"/>
    </xf>
    <xf numFmtId="37" fontId="13" fillId="2" borderId="0" xfId="11" applyNumberFormat="1" applyFont="1" applyFill="1" applyAlignment="1">
      <alignment horizontal="centerContinuous"/>
    </xf>
    <xf numFmtId="177" fontId="15" fillId="2" borderId="0" xfId="11" applyNumberFormat="1" applyFont="1" applyFill="1"/>
    <xf numFmtId="0" fontId="36" fillId="0" borderId="0" xfId="8" applyFont="1" applyAlignment="1" applyProtection="1">
      <alignment horizontal="center"/>
    </xf>
    <xf numFmtId="37" fontId="6" fillId="0" borderId="1" xfId="11" applyNumberFormat="1" applyFont="1" applyBorder="1"/>
    <xf numFmtId="37" fontId="6" fillId="0" borderId="32" xfId="11" applyNumberFormat="1" applyFont="1" applyBorder="1"/>
    <xf numFmtId="49" fontId="8" fillId="0" borderId="0" xfId="0" applyNumberFormat="1" applyFont="1" applyAlignment="1">
      <alignment horizontal="center"/>
    </xf>
    <xf numFmtId="37" fontId="15" fillId="0" borderId="25" xfId="11" applyNumberFormat="1" applyFont="1" applyBorder="1" applyAlignment="1">
      <alignment horizontal="left"/>
    </xf>
    <xf numFmtId="37" fontId="15" fillId="0" borderId="2" xfId="11" applyNumberFormat="1" applyFont="1" applyBorder="1" applyAlignment="1">
      <alignment horizontal="left"/>
    </xf>
    <xf numFmtId="37" fontId="6" fillId="0" borderId="16" xfId="11" applyNumberFormat="1" applyFont="1" applyBorder="1"/>
    <xf numFmtId="37" fontId="6" fillId="0" borderId="4" xfId="11" applyNumberFormat="1" applyFont="1" applyBorder="1"/>
    <xf numFmtId="37" fontId="6" fillId="0" borderId="34" xfId="11" applyNumberFormat="1" applyFont="1" applyBorder="1"/>
    <xf numFmtId="0" fontId="6" fillId="0" borderId="5" xfId="11" applyFont="1" applyBorder="1" applyAlignment="1">
      <alignment horizontal="center"/>
    </xf>
    <xf numFmtId="0" fontId="6" fillId="0" borderId="40" xfId="0" applyFont="1" applyBorder="1" applyAlignment="1">
      <alignment horizontal="center"/>
    </xf>
    <xf numFmtId="0" fontId="6" fillId="0" borderId="9" xfId="0" applyFont="1" applyBorder="1" applyAlignment="1">
      <alignment horizontal="center"/>
    </xf>
    <xf numFmtId="37" fontId="15" fillId="0" borderId="38" xfId="11" applyNumberFormat="1" applyFont="1" applyBorder="1"/>
    <xf numFmtId="37" fontId="6" fillId="0" borderId="37" xfId="11" applyNumberFormat="1" applyFont="1" applyBorder="1"/>
    <xf numFmtId="37" fontId="6" fillId="0" borderId="32" xfId="11" applyNumberFormat="1" applyFont="1" applyBorder="1" applyAlignment="1">
      <alignment horizontal="right"/>
    </xf>
    <xf numFmtId="37" fontId="6" fillId="0" borderId="34" xfId="11" applyNumberFormat="1" applyFont="1" applyBorder="1" applyAlignment="1">
      <alignment horizontal="right"/>
    </xf>
    <xf numFmtId="37" fontId="6" fillId="0" borderId="5" xfId="11" applyNumberFormat="1" applyFont="1" applyBorder="1" applyAlignment="1">
      <alignment horizontal="right"/>
    </xf>
    <xf numFmtId="37" fontId="6" fillId="0" borderId="40" xfId="11" applyNumberFormat="1" applyFont="1" applyBorder="1"/>
    <xf numFmtId="177" fontId="6" fillId="2" borderId="0" xfId="11" applyNumberFormat="1" applyFont="1" applyFill="1"/>
    <xf numFmtId="37" fontId="44" fillId="4" borderId="30" xfId="8" applyNumberFormat="1" applyFont="1" applyFill="1" applyBorder="1" applyProtection="1"/>
    <xf numFmtId="37" fontId="6" fillId="0" borderId="31" xfId="11" applyNumberFormat="1" applyFont="1" applyBorder="1" applyAlignment="1">
      <alignment horizontal="right"/>
    </xf>
    <xf numFmtId="37" fontId="6" fillId="2" borderId="31" xfId="11" applyNumberFormat="1" applyFont="1" applyFill="1" applyBorder="1" applyAlignment="1">
      <alignment horizontal="right"/>
    </xf>
    <xf numFmtId="177" fontId="6" fillId="0" borderId="41" xfId="11" applyNumberFormat="1" applyFont="1" applyBorder="1"/>
    <xf numFmtId="0" fontId="6" fillId="0" borderId="35" xfId="0" applyFont="1" applyBorder="1"/>
    <xf numFmtId="37" fontId="6" fillId="0" borderId="25" xfId="11" applyNumberFormat="1" applyFont="1" applyBorder="1"/>
    <xf numFmtId="37" fontId="6" fillId="0" borderId="2" xfId="11" quotePrefix="1" applyNumberFormat="1" applyFont="1" applyBorder="1" applyAlignment="1">
      <alignment horizontal="right"/>
    </xf>
    <xf numFmtId="37" fontId="6" fillId="0" borderId="33" xfId="11" applyNumberFormat="1" applyFont="1" applyBorder="1" applyAlignment="1">
      <alignment horizontal="right"/>
    </xf>
    <xf numFmtId="0" fontId="6" fillId="0" borderId="25" xfId="11" quotePrefix="1" applyFont="1" applyBorder="1"/>
    <xf numFmtId="37" fontId="60" fillId="0" borderId="25" xfId="11" applyNumberFormat="1" applyFont="1" applyBorder="1"/>
    <xf numFmtId="37" fontId="6" fillId="0" borderId="0" xfId="11" applyNumberFormat="1" applyFont="1"/>
    <xf numFmtId="37" fontId="6" fillId="0" borderId="15" xfId="11" applyNumberFormat="1" applyFont="1" applyBorder="1" applyAlignment="1">
      <alignment horizontal="right"/>
    </xf>
    <xf numFmtId="37" fontId="6" fillId="0" borderId="0" xfId="11" quotePrefix="1" applyNumberFormat="1" applyFont="1" applyAlignment="1">
      <alignment horizontal="right"/>
    </xf>
    <xf numFmtId="37" fontId="6" fillId="0" borderId="4" xfId="11" applyNumberFormat="1" applyFont="1" applyBorder="1" applyAlignment="1">
      <alignment horizontal="right"/>
    </xf>
    <xf numFmtId="37" fontId="6" fillId="0" borderId="0" xfId="11" applyNumberFormat="1" applyFont="1" applyAlignment="1">
      <alignment horizontal="right"/>
    </xf>
    <xf numFmtId="37" fontId="6" fillId="0" borderId="42" xfId="11" applyNumberFormat="1" applyFont="1" applyBorder="1" applyAlignment="1">
      <alignment horizontal="right"/>
    </xf>
    <xf numFmtId="0" fontId="6" fillId="0" borderId="19" xfId="0" applyFont="1" applyBorder="1"/>
    <xf numFmtId="37" fontId="6" fillId="7" borderId="3" xfId="11" applyNumberFormat="1" applyFont="1" applyFill="1" applyBorder="1" applyAlignment="1">
      <alignment horizontal="right"/>
    </xf>
    <xf numFmtId="3" fontId="8" fillId="5" borderId="0" xfId="11" applyNumberFormat="1" applyFont="1" applyFill="1" applyAlignment="1">
      <alignment horizontal="right"/>
    </xf>
    <xf numFmtId="3" fontId="96" fillId="5" borderId="0" xfId="11" applyNumberFormat="1" applyFont="1" applyFill="1" applyAlignment="1">
      <alignment horizontal="right"/>
    </xf>
    <xf numFmtId="3" fontId="96" fillId="0" borderId="0" xfId="11" applyNumberFormat="1" applyFont="1" applyAlignment="1">
      <alignment horizontal="right"/>
    </xf>
    <xf numFmtId="3" fontId="10" fillId="0" borderId="0" xfId="0" applyNumberFormat="1" applyFont="1" applyAlignment="1">
      <alignment horizontal="left"/>
    </xf>
    <xf numFmtId="0" fontId="12" fillId="0" borderId="0" xfId="0" applyFont="1" applyAlignment="1">
      <alignment horizontal="centerContinuous"/>
    </xf>
    <xf numFmtId="0" fontId="12" fillId="0" borderId="30" xfId="0" applyFont="1" applyBorder="1"/>
    <xf numFmtId="0" fontId="12" fillId="0" borderId="30" xfId="0" applyFont="1" applyBorder="1" applyAlignment="1">
      <alignment horizontal="centerContinuous"/>
    </xf>
    <xf numFmtId="0" fontId="12" fillId="0" borderId="32" xfId="0" applyFont="1" applyBorder="1" applyAlignment="1">
      <alignment horizontal="centerContinuous"/>
    </xf>
    <xf numFmtId="164" fontId="12" fillId="0" borderId="0" xfId="0" applyNumberFormat="1" applyFont="1"/>
    <xf numFmtId="164" fontId="22" fillId="0" borderId="0" xfId="0" applyNumberFormat="1" applyFont="1" applyAlignment="1">
      <alignment horizontal="centerContinuous"/>
    </xf>
    <xf numFmtId="0" fontId="12" fillId="0" borderId="25" xfId="0" applyFont="1" applyBorder="1"/>
    <xf numFmtId="0" fontId="12" fillId="0" borderId="0" xfId="0" applyFont="1" applyAlignment="1">
      <alignment horizontal="center"/>
    </xf>
    <xf numFmtId="0" fontId="12" fillId="0" borderId="2" xfId="0" applyFont="1" applyBorder="1" applyAlignment="1">
      <alignment horizontal="center"/>
    </xf>
    <xf numFmtId="0" fontId="12" fillId="0" borderId="25" xfId="0" applyFont="1" applyBorder="1" applyAlignment="1">
      <alignment horizontal="centerContinuous"/>
    </xf>
    <xf numFmtId="0" fontId="12" fillId="0" borderId="2" xfId="0" applyFont="1" applyBorder="1" applyAlignment="1">
      <alignment horizontal="centerContinuous"/>
    </xf>
    <xf numFmtId="0" fontId="12" fillId="0" borderId="0" xfId="0" applyFont="1"/>
    <xf numFmtId="0" fontId="12" fillId="0" borderId="0" xfId="0" applyFont="1" applyAlignment="1">
      <alignment horizontal="right"/>
    </xf>
    <xf numFmtId="37" fontId="8" fillId="0" borderId="38" xfId="0" applyNumberFormat="1" applyFont="1" applyBorder="1" applyAlignment="1">
      <alignment horizontal="right"/>
    </xf>
    <xf numFmtId="37" fontId="8" fillId="0" borderId="3" xfId="0" applyNumberFormat="1" applyFont="1" applyBorder="1"/>
    <xf numFmtId="0" fontId="12" fillId="0" borderId="0" xfId="0" applyFont="1" applyAlignment="1">
      <alignment horizontal="left"/>
    </xf>
    <xf numFmtId="0" fontId="22" fillId="0" borderId="0" xfId="0" applyFont="1"/>
    <xf numFmtId="0" fontId="36" fillId="4" borderId="0" xfId="8" applyFont="1" applyFill="1" applyAlignment="1" applyProtection="1">
      <alignment horizontal="right"/>
    </xf>
    <xf numFmtId="0" fontId="36" fillId="4" borderId="0" xfId="8" quotePrefix="1" applyFont="1" applyFill="1" applyAlignment="1" applyProtection="1">
      <alignment horizontal="right"/>
    </xf>
    <xf numFmtId="0" fontId="12" fillId="0" borderId="0" xfId="0" quotePrefix="1" applyFont="1" applyAlignment="1">
      <alignment horizontal="left"/>
    </xf>
    <xf numFmtId="0" fontId="12" fillId="0" borderId="0" xfId="0" quotePrefix="1" applyFont="1" applyAlignment="1">
      <alignment horizontal="right"/>
    </xf>
    <xf numFmtId="164" fontId="8" fillId="0" borderId="0" xfId="0" applyNumberFormat="1" applyFont="1" applyAlignment="1">
      <alignment horizontal="right"/>
    </xf>
    <xf numFmtId="0" fontId="8" fillId="0" borderId="0" xfId="0" quotePrefix="1" applyFont="1" applyAlignment="1">
      <alignment horizontal="left"/>
    </xf>
    <xf numFmtId="37" fontId="12" fillId="0" borderId="27" xfId="0" applyNumberFormat="1" applyFont="1" applyBorder="1" applyAlignment="1">
      <alignment horizontal="right"/>
    </xf>
    <xf numFmtId="0" fontId="62" fillId="0" borderId="0" xfId="0" applyFont="1" applyAlignment="1">
      <alignment horizontal="left"/>
    </xf>
    <xf numFmtId="49" fontId="62" fillId="0" borderId="0" xfId="0" applyNumberFormat="1" applyFont="1" applyAlignment="1">
      <alignment horizontal="right"/>
    </xf>
    <xf numFmtId="49" fontId="62" fillId="0" borderId="0" xfId="0" applyNumberFormat="1" applyFont="1" applyAlignment="1">
      <alignment horizontal="left"/>
    </xf>
    <xf numFmtId="49" fontId="62" fillId="0" borderId="0" xfId="0" quotePrefix="1" applyNumberFormat="1" applyFont="1" applyAlignment="1">
      <alignment horizontal="left"/>
    </xf>
    <xf numFmtId="49" fontId="36" fillId="4" borderId="0" xfId="8" quotePrefix="1" applyNumberFormat="1" applyFont="1" applyFill="1" applyAlignment="1" applyProtection="1">
      <alignment horizontal="right"/>
    </xf>
    <xf numFmtId="49" fontId="62" fillId="0" borderId="0" xfId="0" quotePrefix="1" applyNumberFormat="1" applyFont="1" applyAlignment="1">
      <alignment horizontal="right"/>
    </xf>
    <xf numFmtId="4" fontId="12" fillId="0" borderId="27" xfId="0" applyNumberFormat="1" applyFont="1" applyBorder="1" applyAlignment="1">
      <alignment horizontal="right"/>
    </xf>
    <xf numFmtId="37" fontId="12" fillId="0" borderId="43" xfId="0" applyNumberFormat="1" applyFont="1" applyBorder="1" applyAlignment="1">
      <alignment horizontal="right"/>
    </xf>
    <xf numFmtId="0" fontId="62" fillId="0" borderId="0" xfId="0" quotePrefix="1" applyFont="1" applyAlignment="1">
      <alignment horizontal="left"/>
    </xf>
    <xf numFmtId="37" fontId="12" fillId="0" borderId="0" xfId="0" applyNumberFormat="1" applyFont="1" applyAlignment="1">
      <alignment horizontal="right"/>
    </xf>
    <xf numFmtId="49" fontId="12" fillId="0" borderId="0" xfId="0" applyNumberFormat="1" applyFont="1" applyAlignment="1">
      <alignment horizontal="left"/>
    </xf>
    <xf numFmtId="42" fontId="8" fillId="0" borderId="0" xfId="0" applyNumberFormat="1" applyFont="1" applyAlignment="1">
      <alignment horizontal="right"/>
    </xf>
    <xf numFmtId="0" fontId="36" fillId="0" borderId="0" xfId="8" applyFont="1" applyAlignment="1" applyProtection="1">
      <alignment horizontal="right"/>
    </xf>
    <xf numFmtId="37" fontId="22" fillId="2" borderId="0" xfId="13" applyNumberFormat="1" applyFont="1" applyAlignment="1">
      <alignment horizontal="left"/>
    </xf>
    <xf numFmtId="37" fontId="22" fillId="2" borderId="0" xfId="13" applyNumberFormat="1" applyFont="1" applyAlignment="1">
      <alignment horizontal="center"/>
    </xf>
    <xf numFmtId="37" fontId="22" fillId="2" borderId="0" xfId="13" applyNumberFormat="1" applyFont="1" applyAlignment="1">
      <alignment horizontal="right"/>
    </xf>
    <xf numFmtId="37" fontId="12" fillId="2" borderId="4" xfId="13" applyNumberFormat="1" applyFont="1" applyBorder="1" applyAlignment="1">
      <alignment horizontal="center"/>
    </xf>
    <xf numFmtId="0" fontId="12" fillId="2" borderId="0" xfId="13" applyFont="1"/>
    <xf numFmtId="37" fontId="12" fillId="0" borderId="12" xfId="13" applyNumberFormat="1" applyFont="1" applyFill="1" applyBorder="1" applyAlignment="1">
      <alignment horizontal="center"/>
    </xf>
    <xf numFmtId="37" fontId="22" fillId="2" borderId="0" xfId="13" applyNumberFormat="1" applyFont="1" applyAlignment="1">
      <alignment horizontal="centerContinuous" vertical="top"/>
    </xf>
    <xf numFmtId="37" fontId="12" fillId="2" borderId="0" xfId="13" applyNumberFormat="1" applyFont="1" applyAlignment="1">
      <alignment horizontal="centerContinuous"/>
    </xf>
    <xf numFmtId="37" fontId="12" fillId="0" borderId="0" xfId="13" applyNumberFormat="1" applyFont="1" applyFill="1" applyAlignment="1">
      <alignment horizontal="centerContinuous"/>
    </xf>
    <xf numFmtId="0" fontId="8" fillId="2" borderId="0" xfId="13" applyFont="1" applyAlignment="1">
      <alignment horizontal="centerContinuous"/>
    </xf>
    <xf numFmtId="37" fontId="22" fillId="2" borderId="0" xfId="13" applyNumberFormat="1" applyFont="1" applyAlignment="1">
      <alignment vertical="top"/>
    </xf>
    <xf numFmtId="37" fontId="13" fillId="2" borderId="0" xfId="13" applyNumberFormat="1" applyFont="1" applyAlignment="1">
      <alignment horizontal="center"/>
    </xf>
    <xf numFmtId="0" fontId="13" fillId="2" borderId="0" xfId="13" applyFont="1" applyAlignment="1">
      <alignment horizontal="center"/>
    </xf>
    <xf numFmtId="37" fontId="22" fillId="2" borderId="0" xfId="13" applyNumberFormat="1" applyFont="1" applyAlignment="1">
      <alignment horizontal="centerContinuous"/>
    </xf>
    <xf numFmtId="37" fontId="23" fillId="2" borderId="0" xfId="13" applyNumberFormat="1" applyFont="1" applyAlignment="1">
      <alignment horizontal="center"/>
    </xf>
    <xf numFmtId="37" fontId="13" fillId="2" borderId="4" xfId="13" applyNumberFormat="1" applyFont="1" applyBorder="1" applyAlignment="1">
      <alignment horizontal="center"/>
    </xf>
    <xf numFmtId="0" fontId="13" fillId="2" borderId="4" xfId="13" applyFont="1" applyBorder="1" applyAlignment="1">
      <alignment horizontal="center"/>
    </xf>
    <xf numFmtId="0" fontId="18" fillId="0" borderId="0" xfId="13" applyFill="1"/>
    <xf numFmtId="37" fontId="62" fillId="0" borderId="0" xfId="13" applyNumberFormat="1" applyFont="1" applyFill="1" applyAlignment="1">
      <alignment horizontal="left"/>
    </xf>
    <xf numFmtId="37" fontId="12" fillId="0" borderId="0" xfId="13" applyNumberFormat="1" applyFont="1" applyFill="1"/>
    <xf numFmtId="8" fontId="12" fillId="2" borderId="0" xfId="13" applyNumberFormat="1" applyFont="1" applyAlignment="1">
      <alignment horizontal="right"/>
    </xf>
    <xf numFmtId="37" fontId="12" fillId="2" borderId="0" xfId="13" applyNumberFormat="1" applyFont="1" applyAlignment="1">
      <alignment horizontal="right"/>
    </xf>
    <xf numFmtId="37" fontId="12" fillId="2" borderId="4" xfId="13" applyNumberFormat="1" applyFont="1" applyBorder="1"/>
    <xf numFmtId="37" fontId="8" fillId="2" borderId="0" xfId="13" applyNumberFormat="1" applyFont="1"/>
    <xf numFmtId="37" fontId="8" fillId="2" borderId="4" xfId="13" applyNumberFormat="1" applyFont="1" applyBorder="1" applyAlignment="1">
      <alignment horizontal="right"/>
    </xf>
    <xf numFmtId="1" fontId="12" fillId="2" borderId="0" xfId="13" applyNumberFormat="1" applyFont="1" applyAlignment="1">
      <alignment horizontal="right"/>
    </xf>
    <xf numFmtId="37" fontId="36" fillId="0" borderId="0" xfId="8" applyNumberFormat="1" applyFont="1" applyAlignment="1" applyProtection="1">
      <alignment horizontal="left" vertical="top"/>
    </xf>
    <xf numFmtId="37" fontId="12" fillId="2" borderId="0" xfId="13" applyNumberFormat="1" applyFont="1" applyAlignment="1">
      <alignment horizontal="left"/>
    </xf>
    <xf numFmtId="37" fontId="12" fillId="2" borderId="1" xfId="13" applyNumberFormat="1" applyFont="1" applyBorder="1"/>
    <xf numFmtId="1" fontId="12" fillId="2" borderId="0" xfId="13" applyNumberFormat="1" applyFont="1" applyAlignment="1">
      <alignment horizontal="right" vertical="top"/>
    </xf>
    <xf numFmtId="1" fontId="12" fillId="2" borderId="0" xfId="13" applyNumberFormat="1" applyFont="1" applyAlignment="1">
      <alignment horizontal="left"/>
    </xf>
    <xf numFmtId="0" fontId="8" fillId="2" borderId="0" xfId="13" quotePrefix="1" applyFont="1"/>
    <xf numFmtId="49" fontId="36" fillId="4" borderId="0" xfId="8" applyNumberFormat="1" applyFont="1" applyFill="1" applyAlignment="1" applyProtection="1">
      <alignment horizontal="right" vertical="top"/>
    </xf>
    <xf numFmtId="37" fontId="36" fillId="4" borderId="0" xfId="8" applyNumberFormat="1" applyFont="1" applyFill="1" applyAlignment="1" applyProtection="1">
      <alignment horizontal="left" vertical="top"/>
    </xf>
    <xf numFmtId="0" fontId="36" fillId="0" borderId="0" xfId="0" applyFont="1"/>
    <xf numFmtId="37" fontId="12" fillId="0" borderId="1" xfId="13" applyNumberFormat="1" applyFont="1" applyFill="1" applyBorder="1"/>
    <xf numFmtId="37" fontId="36" fillId="4" borderId="0" xfId="8" applyNumberFormat="1" applyFont="1" applyFill="1" applyAlignment="1" applyProtection="1">
      <alignment horizontal="left"/>
    </xf>
    <xf numFmtId="37" fontId="12" fillId="0" borderId="4" xfId="13" applyNumberFormat="1" applyFont="1" applyFill="1" applyBorder="1"/>
    <xf numFmtId="37" fontId="12" fillId="2" borderId="10" xfId="13" applyNumberFormat="1" applyFont="1" applyBorder="1" applyAlignment="1">
      <alignment horizontal="right"/>
    </xf>
    <xf numFmtId="1" fontId="36" fillId="4" borderId="0" xfId="8" applyNumberFormat="1" applyFont="1" applyFill="1" applyAlignment="1" applyProtection="1">
      <alignment horizontal="right" vertical="top"/>
    </xf>
    <xf numFmtId="37" fontId="36" fillId="4" borderId="0" xfId="8" applyNumberFormat="1" applyFont="1" applyFill="1" applyProtection="1"/>
    <xf numFmtId="37" fontId="8" fillId="2" borderId="1" xfId="13" applyNumberFormat="1" applyFont="1" applyBorder="1"/>
    <xf numFmtId="1" fontId="36" fillId="4" borderId="0" xfId="8" applyNumberFormat="1" applyFont="1" applyFill="1" applyAlignment="1" applyProtection="1">
      <alignment horizontal="right"/>
    </xf>
    <xf numFmtId="37" fontId="12" fillId="2" borderId="0" xfId="13" applyNumberFormat="1" applyFont="1" applyAlignment="1">
      <alignment vertical="top"/>
    </xf>
    <xf numFmtId="37" fontId="8" fillId="2" borderId="0" xfId="13" applyNumberFormat="1" applyFont="1" applyAlignment="1">
      <alignment vertical="top"/>
    </xf>
    <xf numFmtId="0" fontId="18" fillId="2" borderId="0" xfId="13" applyAlignment="1">
      <alignment vertical="top"/>
    </xf>
    <xf numFmtId="1" fontId="12" fillId="2" borderId="0" xfId="13" applyNumberFormat="1" applyFont="1"/>
    <xf numFmtId="37" fontId="62" fillId="0" borderId="0" xfId="13" applyNumberFormat="1" applyFont="1" applyFill="1"/>
    <xf numFmtId="37" fontId="12" fillId="0" borderId="0" xfId="13" applyNumberFormat="1" applyFont="1" applyFill="1" applyAlignment="1">
      <alignment horizontal="left"/>
    </xf>
    <xf numFmtId="0" fontId="10" fillId="0" borderId="0" xfId="13" applyFont="1" applyFill="1"/>
    <xf numFmtId="37" fontId="12" fillId="0" borderId="0" xfId="13" applyNumberFormat="1" applyFont="1" applyFill="1" applyAlignment="1">
      <alignment horizontal="right"/>
    </xf>
    <xf numFmtId="37" fontId="8" fillId="2" borderId="20" xfId="13" applyNumberFormat="1" applyFont="1" applyBorder="1"/>
    <xf numFmtId="37" fontId="12" fillId="0" borderId="0" xfId="13" applyNumberFormat="1" applyFont="1" applyFill="1" applyAlignment="1">
      <alignment vertical="top"/>
    </xf>
    <xf numFmtId="0" fontId="8" fillId="0" borderId="0" xfId="13" quotePrefix="1" applyFont="1" applyFill="1" applyAlignment="1">
      <alignment wrapText="1"/>
    </xf>
    <xf numFmtId="37" fontId="12" fillId="0" borderId="0" xfId="13" applyNumberFormat="1" applyFont="1" applyFill="1" applyAlignment="1">
      <alignment horizontal="left" wrapText="1"/>
    </xf>
    <xf numFmtId="37" fontId="62" fillId="0" borderId="0" xfId="13" applyNumberFormat="1" applyFont="1" applyFill="1" applyAlignment="1">
      <alignment horizontal="left" vertical="top"/>
    </xf>
    <xf numFmtId="1" fontId="12" fillId="0" borderId="0" xfId="13" applyNumberFormat="1" applyFont="1" applyFill="1" applyAlignment="1">
      <alignment horizontal="right" vertical="top"/>
    </xf>
    <xf numFmtId="37" fontId="8" fillId="0" borderId="0" xfId="13" applyNumberFormat="1" applyFont="1" applyFill="1"/>
    <xf numFmtId="1" fontId="12" fillId="0" borderId="0" xfId="13" applyNumberFormat="1" applyFont="1" applyFill="1" applyAlignment="1">
      <alignment horizontal="right"/>
    </xf>
    <xf numFmtId="49" fontId="36" fillId="4" borderId="0" xfId="8" quotePrefix="1" applyNumberFormat="1" applyFont="1" applyFill="1" applyAlignment="1" applyProtection="1">
      <alignment horizontal="right" vertical="top"/>
    </xf>
    <xf numFmtId="37" fontId="12" fillId="0" borderId="20" xfId="13" quotePrefix="1" applyNumberFormat="1" applyFont="1" applyFill="1" applyBorder="1"/>
    <xf numFmtId="49" fontId="36" fillId="0" borderId="0" xfId="8" quotePrefix="1" applyNumberFormat="1" applyFont="1" applyAlignment="1" applyProtection="1">
      <alignment horizontal="right" vertical="top"/>
    </xf>
    <xf numFmtId="0" fontId="8" fillId="0" borderId="0" xfId="21" applyFont="1" applyFill="1" applyAlignment="1">
      <alignment vertical="top" wrapText="1"/>
    </xf>
    <xf numFmtId="37" fontId="12" fillId="0" borderId="0" xfId="13" quotePrefix="1" applyNumberFormat="1" applyFont="1" applyFill="1"/>
    <xf numFmtId="37" fontId="8" fillId="0" borderId="10" xfId="0" applyNumberFormat="1" applyFont="1" applyBorder="1"/>
    <xf numFmtId="0" fontId="8" fillId="0" borderId="0" xfId="21" quotePrefix="1" applyFont="1" applyFill="1" applyAlignment="1">
      <alignment horizontal="left" vertical="top" wrapText="1"/>
    </xf>
    <xf numFmtId="37" fontId="8" fillId="0" borderId="20" xfId="0" applyNumberFormat="1" applyFont="1" applyBorder="1"/>
    <xf numFmtId="0" fontId="62" fillId="0" borderId="0" xfId="0" applyFont="1" applyAlignment="1">
      <alignment vertical="top"/>
    </xf>
    <xf numFmtId="0" fontId="10" fillId="0" borderId="0" xfId="13" applyFont="1" applyFill="1" applyAlignment="1">
      <alignment wrapText="1"/>
    </xf>
    <xf numFmtId="37" fontId="8" fillId="0" borderId="0" xfId="13" applyNumberFormat="1" applyFont="1" applyFill="1" applyAlignment="1">
      <alignment horizontal="right"/>
    </xf>
    <xf numFmtId="0" fontId="25" fillId="0" borderId="0" xfId="0" applyFont="1" applyAlignment="1">
      <alignment wrapText="1"/>
    </xf>
    <xf numFmtId="1" fontId="12" fillId="2" borderId="0" xfId="13" quotePrefix="1" applyNumberFormat="1" applyFont="1" applyAlignment="1">
      <alignment horizontal="right" vertical="top"/>
    </xf>
    <xf numFmtId="37" fontId="3" fillId="0" borderId="0" xfId="0" applyNumberFormat="1" applyFont="1"/>
    <xf numFmtId="1" fontId="12" fillId="2" borderId="0" xfId="13" quotePrefix="1" applyNumberFormat="1" applyFont="1" applyAlignment="1">
      <alignment horizontal="right"/>
    </xf>
    <xf numFmtId="0" fontId="8" fillId="2" borderId="0" xfId="13" applyFont="1" applyAlignment="1">
      <alignment horizontal="right"/>
    </xf>
    <xf numFmtId="1" fontId="12" fillId="0" borderId="0" xfId="13" applyNumberFormat="1" applyFont="1" applyFill="1" applyAlignment="1">
      <alignment horizontal="left"/>
    </xf>
    <xf numFmtId="0" fontId="8" fillId="0" borderId="0" xfId="0" quotePrefix="1" applyFont="1" applyAlignment="1">
      <alignment wrapText="1"/>
    </xf>
    <xf numFmtId="49" fontId="8" fillId="2" borderId="0" xfId="13" quotePrefix="1" applyNumberFormat="1" applyFont="1" applyAlignment="1">
      <alignment horizontal="left"/>
    </xf>
    <xf numFmtId="0" fontId="10" fillId="0" borderId="0" xfId="13" applyFont="1" applyFill="1" applyAlignment="1">
      <alignment horizontal="right"/>
    </xf>
    <xf numFmtId="37" fontId="10" fillId="0" borderId="0" xfId="0" applyNumberFormat="1" applyFont="1" applyAlignment="1">
      <alignment horizontal="right"/>
    </xf>
    <xf numFmtId="1" fontId="12" fillId="0" borderId="0" xfId="13" quotePrefix="1" applyNumberFormat="1" applyFont="1" applyFill="1" applyAlignment="1">
      <alignment horizontal="left"/>
    </xf>
    <xf numFmtId="37" fontId="12" fillId="0" borderId="0" xfId="13" applyNumberFormat="1" applyFont="1" applyFill="1" applyAlignment="1">
      <alignment horizontal="justify" vertical="top" wrapText="1"/>
    </xf>
    <xf numFmtId="49" fontId="12" fillId="0" borderId="0" xfId="13" quotePrefix="1" applyNumberFormat="1" applyFont="1" applyFill="1" applyAlignment="1">
      <alignment horizontal="left" vertical="top"/>
    </xf>
    <xf numFmtId="1" fontId="12" fillId="0" borderId="0" xfId="13" quotePrefix="1" applyNumberFormat="1" applyFont="1" applyFill="1" applyAlignment="1">
      <alignment horizontal="left" vertical="top"/>
    </xf>
    <xf numFmtId="1" fontId="22" fillId="2" borderId="0" xfId="13" applyNumberFormat="1" applyFont="1"/>
    <xf numFmtId="49" fontId="8" fillId="5" borderId="0" xfId="13" applyNumberFormat="1" applyFont="1" applyFill="1" applyAlignment="1">
      <alignment horizontal="left" vertical="top"/>
    </xf>
    <xf numFmtId="37" fontId="12" fillId="0" borderId="0" xfId="13" applyNumberFormat="1" applyFont="1" applyFill="1" applyAlignment="1">
      <alignment vertical="top" wrapText="1"/>
    </xf>
    <xf numFmtId="37" fontId="12" fillId="0" borderId="0" xfId="13" quotePrefix="1" applyNumberFormat="1" applyFont="1" applyFill="1" applyAlignment="1">
      <alignment horizontal="left" vertical="top"/>
    </xf>
    <xf numFmtId="49" fontId="8" fillId="0" borderId="0" xfId="13" applyNumberFormat="1" applyFont="1" applyFill="1" applyAlignment="1">
      <alignment horizontal="left" vertical="top"/>
    </xf>
    <xf numFmtId="37" fontId="23" fillId="0" borderId="0" xfId="13" applyNumberFormat="1" applyFont="1" applyFill="1"/>
    <xf numFmtId="37" fontId="24" fillId="2" borderId="4" xfId="13" applyNumberFormat="1" applyFont="1" applyBorder="1" applyAlignment="1">
      <alignment horizontal="left"/>
    </xf>
    <xf numFmtId="37" fontId="24" fillId="2" borderId="4" xfId="13" applyNumberFormat="1" applyFont="1" applyBorder="1" applyAlignment="1">
      <alignment horizontal="center"/>
    </xf>
    <xf numFmtId="0" fontId="24" fillId="2" borderId="0" xfId="13" applyFont="1" applyAlignment="1">
      <alignment horizontal="left"/>
    </xf>
    <xf numFmtId="0" fontId="4" fillId="0" borderId="12" xfId="0" applyFont="1" applyBorder="1" applyAlignment="1">
      <alignment horizontal="center"/>
    </xf>
    <xf numFmtId="0" fontId="30" fillId="2" borderId="0" xfId="13" applyFont="1" applyAlignment="1">
      <alignment horizontal="centerContinuous"/>
    </xf>
    <xf numFmtId="0" fontId="24" fillId="2" borderId="0" xfId="13" applyFont="1" applyAlignment="1">
      <alignment horizontal="centerContinuous"/>
    </xf>
    <xf numFmtId="0" fontId="30" fillId="2" borderId="0" xfId="13" applyFont="1" applyAlignment="1">
      <alignment horizontal="centerContinuous" vertical="top"/>
    </xf>
    <xf numFmtId="0" fontId="9" fillId="2" borderId="0" xfId="13" applyFont="1" applyAlignment="1">
      <alignment horizontal="centerContinuous" vertical="top"/>
    </xf>
    <xf numFmtId="0" fontId="9" fillId="0" borderId="0" xfId="0" applyFont="1" applyAlignment="1">
      <alignment horizontal="centerContinuous" vertical="top"/>
    </xf>
    <xf numFmtId="0" fontId="4" fillId="0" borderId="0" xfId="0" applyFont="1" applyAlignment="1">
      <alignment horizontal="centerContinuous" vertical="top"/>
    </xf>
    <xf numFmtId="0" fontId="83" fillId="2" borderId="0" xfId="13" applyFont="1" applyAlignment="1">
      <alignment horizontal="right"/>
    </xf>
    <xf numFmtId="49" fontId="24" fillId="2" borderId="0" xfId="13" applyNumberFormat="1" applyFont="1" applyAlignment="1">
      <alignment horizontal="right"/>
    </xf>
    <xf numFmtId="0" fontId="4" fillId="0" borderId="0" xfId="13" applyFont="1" applyFill="1"/>
    <xf numFmtId="49" fontId="11" fillId="4" borderId="0" xfId="8" applyNumberFormat="1" applyFont="1" applyFill="1" applyAlignment="1" applyProtection="1">
      <alignment horizontal="right"/>
    </xf>
    <xf numFmtId="0" fontId="4" fillId="2" borderId="0" xfId="13" applyFont="1"/>
    <xf numFmtId="37" fontId="4" fillId="0" borderId="20" xfId="0" applyNumberFormat="1" applyFont="1" applyBorder="1"/>
    <xf numFmtId="37" fontId="4" fillId="0" borderId="10" xfId="0" applyNumberFormat="1" applyFont="1" applyBorder="1"/>
    <xf numFmtId="37" fontId="4" fillId="0" borderId="7" xfId="0" applyNumberFormat="1" applyFont="1" applyBorder="1"/>
    <xf numFmtId="37" fontId="4" fillId="0" borderId="7" xfId="0" applyNumberFormat="1" applyFont="1" applyBorder="1" applyAlignment="1">
      <alignment horizontal="right"/>
    </xf>
    <xf numFmtId="49" fontId="11" fillId="4" borderId="0" xfId="8" quotePrefix="1" applyNumberFormat="1" applyFont="1" applyFill="1" applyAlignment="1" applyProtection="1">
      <alignment horizontal="right"/>
    </xf>
    <xf numFmtId="0" fontId="2" fillId="0" borderId="0" xfId="0" applyFont="1" applyAlignment="1">
      <alignment wrapText="1"/>
    </xf>
    <xf numFmtId="49" fontId="30" fillId="2" borderId="0" xfId="13" applyNumberFormat="1" applyFont="1" applyAlignment="1">
      <alignment horizontal="right"/>
    </xf>
    <xf numFmtId="0" fontId="2" fillId="0" borderId="0" xfId="0" applyFont="1" applyAlignment="1">
      <alignment horizontal="right"/>
    </xf>
    <xf numFmtId="0" fontId="2" fillId="0" borderId="0" xfId="0" applyFont="1" applyAlignment="1">
      <alignment horizontal="justify"/>
    </xf>
    <xf numFmtId="49" fontId="11" fillId="0" borderId="0" xfId="8" quotePrefix="1" applyNumberFormat="1" applyFont="1" applyAlignment="1" applyProtection="1">
      <alignment horizontal="right"/>
    </xf>
    <xf numFmtId="0" fontId="63" fillId="0" borderId="0" xfId="21" quotePrefix="1" applyFont="1" applyFill="1" applyAlignment="1">
      <alignment horizontal="right"/>
    </xf>
    <xf numFmtId="49" fontId="63" fillId="0" borderId="0" xfId="8" quotePrefix="1" applyNumberFormat="1" applyFont="1" applyAlignment="1" applyProtection="1">
      <alignment horizontal="right"/>
    </xf>
    <xf numFmtId="49" fontId="4" fillId="0" borderId="0" xfId="13" applyNumberFormat="1" applyFont="1" applyFill="1" applyAlignment="1">
      <alignment horizontal="right"/>
    </xf>
    <xf numFmtId="37" fontId="4" fillId="0" borderId="0" xfId="0" applyNumberFormat="1" applyFont="1"/>
    <xf numFmtId="0" fontId="24" fillId="0" borderId="0" xfId="13" applyFont="1" applyFill="1" applyAlignment="1">
      <alignment horizontal="right"/>
    </xf>
    <xf numFmtId="49" fontId="4" fillId="0" borderId="0" xfId="13" quotePrefix="1" applyNumberFormat="1" applyFont="1" applyFill="1" applyAlignment="1">
      <alignment horizontal="right"/>
    </xf>
    <xf numFmtId="37" fontId="4" fillId="0" borderId="44" xfId="0" applyNumberFormat="1" applyFont="1" applyBorder="1"/>
    <xf numFmtId="0" fontId="63" fillId="0" borderId="0" xfId="0" quotePrefix="1" applyFont="1" applyAlignment="1">
      <alignment vertical="top"/>
    </xf>
    <xf numFmtId="0" fontId="63" fillId="0" borderId="0" xfId="0" applyFont="1" applyAlignment="1">
      <alignment vertical="top"/>
    </xf>
    <xf numFmtId="49" fontId="82" fillId="0" borderId="0" xfId="13" applyNumberFormat="1" applyFont="1" applyFill="1" applyAlignment="1">
      <alignment horizontal="right"/>
    </xf>
    <xf numFmtId="0" fontId="82" fillId="0" borderId="0" xfId="0" quotePrefix="1" applyFont="1" applyAlignment="1">
      <alignment vertical="top"/>
    </xf>
    <xf numFmtId="0" fontId="82" fillId="0" borderId="0" xfId="0" applyFont="1" applyAlignment="1">
      <alignment vertical="top"/>
    </xf>
    <xf numFmtId="49" fontId="24" fillId="2" borderId="0" xfId="13" applyNumberFormat="1" applyFont="1" applyAlignment="1">
      <alignment horizontal="right" vertical="top"/>
    </xf>
    <xf numFmtId="49" fontId="24" fillId="0" borderId="0" xfId="13" applyNumberFormat="1" applyFont="1" applyFill="1" applyAlignment="1">
      <alignment horizontal="right" vertical="top"/>
    </xf>
    <xf numFmtId="0" fontId="4" fillId="0" borderId="0" xfId="13" applyFont="1" applyFill="1" applyAlignment="1">
      <alignment vertical="top"/>
    </xf>
    <xf numFmtId="0" fontId="0" fillId="0" borderId="0" xfId="0" applyAlignment="1">
      <alignment vertical="top"/>
    </xf>
    <xf numFmtId="0" fontId="5" fillId="0" borderId="0" xfId="0" applyFont="1" applyAlignment="1">
      <alignment horizontal="center"/>
    </xf>
    <xf numFmtId="0" fontId="16" fillId="0" borderId="0" xfId="0" applyFont="1"/>
    <xf numFmtId="0" fontId="8" fillId="0" borderId="30" xfId="0" applyFont="1" applyBorder="1" applyAlignment="1">
      <alignment horizontal="centerContinuous"/>
    </xf>
    <xf numFmtId="0" fontId="0" fillId="0" borderId="32" xfId="0" applyBorder="1" applyAlignment="1">
      <alignment horizontal="centerContinuous"/>
    </xf>
    <xf numFmtId="0" fontId="8" fillId="0" borderId="30" xfId="0" applyFont="1" applyBorder="1" applyAlignment="1">
      <alignment horizontal="center"/>
    </xf>
    <xf numFmtId="0" fontId="0" fillId="0" borderId="34" xfId="0" applyBorder="1" applyAlignment="1">
      <alignment horizontal="centerContinuous"/>
    </xf>
    <xf numFmtId="0" fontId="3" fillId="0" borderId="25" xfId="0" applyFont="1" applyBorder="1"/>
    <xf numFmtId="0" fontId="10" fillId="0" borderId="25" xfId="0" applyFont="1" applyBorder="1"/>
    <xf numFmtId="49" fontId="3" fillId="0" borderId="0" xfId="0" applyNumberFormat="1" applyFont="1"/>
    <xf numFmtId="49" fontId="3" fillId="0" borderId="0" xfId="0" applyNumberFormat="1" applyFont="1" applyAlignment="1">
      <alignment horizontal="left"/>
    </xf>
    <xf numFmtId="3" fontId="8" fillId="6" borderId="3" xfId="0" applyNumberFormat="1" applyFont="1" applyFill="1" applyBorder="1"/>
    <xf numFmtId="0" fontId="10" fillId="0" borderId="38" xfId="0" applyFont="1" applyBorder="1"/>
    <xf numFmtId="0" fontId="8" fillId="0" borderId="37" xfId="0" applyFont="1" applyBorder="1"/>
    <xf numFmtId="49" fontId="8" fillId="0" borderId="37" xfId="0" applyNumberFormat="1" applyFont="1" applyBorder="1" applyAlignment="1">
      <alignment horizontal="right"/>
    </xf>
    <xf numFmtId="3" fontId="8" fillId="6" borderId="3" xfId="0" applyNumberFormat="1" applyFont="1" applyFill="1" applyBorder="1" applyAlignment="1">
      <alignment horizontal="right"/>
    </xf>
    <xf numFmtId="49" fontId="3" fillId="0" borderId="32" xfId="0" applyNumberFormat="1" applyFont="1" applyBorder="1"/>
    <xf numFmtId="37" fontId="13" fillId="2" borderId="0" xfId="14" applyNumberFormat="1" applyFont="1" applyAlignment="1">
      <alignment horizontal="centerContinuous"/>
    </xf>
    <xf numFmtId="49" fontId="6" fillId="0" borderId="45" xfId="0" applyNumberFormat="1" applyFont="1" applyBorder="1" applyAlignment="1">
      <alignment horizontal="center"/>
    </xf>
    <xf numFmtId="37" fontId="21" fillId="2" borderId="0" xfId="14" applyNumberFormat="1" applyFont="1" applyAlignment="1">
      <alignment horizontal="centerContinuous"/>
    </xf>
    <xf numFmtId="0" fontId="72" fillId="0" borderId="0" xfId="0" applyFont="1"/>
    <xf numFmtId="0" fontId="20" fillId="2" borderId="0" xfId="14"/>
    <xf numFmtId="0" fontId="6" fillId="0" borderId="12" xfId="0" applyFont="1" applyBorder="1" applyAlignment="1">
      <alignment horizontal="center" wrapText="1"/>
    </xf>
    <xf numFmtId="0" fontId="15" fillId="2" borderId="0" xfId="14" applyFont="1" applyAlignment="1">
      <alignment horizontal="left"/>
    </xf>
    <xf numFmtId="0" fontId="15" fillId="2" borderId="0" xfId="14" applyFont="1" applyAlignment="1">
      <alignment horizontal="center"/>
    </xf>
    <xf numFmtId="0" fontId="72" fillId="2" borderId="0" xfId="13" applyFont="1"/>
    <xf numFmtId="0" fontId="86" fillId="2" borderId="0" xfId="13" applyFont="1"/>
    <xf numFmtId="0" fontId="6" fillId="2" borderId="0" xfId="14" applyFont="1"/>
    <xf numFmtId="37" fontId="14" fillId="2" borderId="0" xfId="14" applyNumberFormat="1" applyFont="1"/>
    <xf numFmtId="0" fontId="78" fillId="2" borderId="0" xfId="13" applyFont="1" applyAlignment="1">
      <alignment wrapText="1"/>
    </xf>
    <xf numFmtId="37" fontId="13" fillId="2" borderId="0" xfId="14" applyNumberFormat="1" applyFont="1"/>
    <xf numFmtId="0" fontId="44" fillId="4" borderId="46" xfId="8" applyFont="1" applyFill="1" applyBorder="1" applyProtection="1"/>
    <xf numFmtId="0" fontId="20" fillId="0" borderId="20" xfId="14" applyFill="1" applyBorder="1"/>
    <xf numFmtId="37" fontId="13" fillId="0" borderId="46" xfId="14" applyNumberFormat="1" applyFont="1" applyFill="1" applyBorder="1" applyAlignment="1">
      <alignment horizontal="left"/>
    </xf>
    <xf numFmtId="0" fontId="8" fillId="0" borderId="20" xfId="0" applyFont="1" applyBorder="1" applyAlignment="1">
      <alignment horizontal="left"/>
    </xf>
    <xf numFmtId="0" fontId="8" fillId="0" borderId="20" xfId="0" applyFont="1" applyBorder="1"/>
    <xf numFmtId="0" fontId="8" fillId="0" borderId="35" xfId="0" applyFont="1" applyBorder="1"/>
    <xf numFmtId="37" fontId="13" fillId="2" borderId="28" xfId="14" applyNumberFormat="1" applyFont="1" applyBorder="1"/>
    <xf numFmtId="0" fontId="20" fillId="0" borderId="0" xfId="14" applyFill="1"/>
    <xf numFmtId="0" fontId="6" fillId="0" borderId="0" xfId="0" applyFont="1" applyAlignment="1">
      <alignment horizontal="right"/>
    </xf>
    <xf numFmtId="38" fontId="6" fillId="0" borderId="47" xfId="0" applyNumberFormat="1" applyFont="1" applyBorder="1"/>
    <xf numFmtId="172" fontId="14" fillId="0" borderId="48" xfId="14" applyNumberFormat="1" applyFont="1" applyFill="1" applyBorder="1"/>
    <xf numFmtId="0" fontId="6" fillId="2" borderId="39" xfId="14" applyFont="1" applyBorder="1"/>
    <xf numFmtId="176" fontId="8" fillId="0" borderId="0" xfId="0" applyNumberFormat="1" applyFont="1" applyBorder="1"/>
    <xf numFmtId="37" fontId="14" fillId="0" borderId="28" xfId="14" applyNumberFormat="1" applyFont="1" applyFill="1" applyBorder="1" applyAlignment="1">
      <alignment horizontal="left"/>
    </xf>
    <xf numFmtId="37" fontId="6" fillId="0" borderId="47" xfId="0" applyNumberFormat="1" applyFont="1" applyBorder="1"/>
    <xf numFmtId="37" fontId="13" fillId="2" borderId="46" xfId="14" applyNumberFormat="1" applyFont="1" applyBorder="1"/>
    <xf numFmtId="0" fontId="20" fillId="2" borderId="20" xfId="14" applyBorder="1"/>
    <xf numFmtId="9" fontId="6" fillId="0" borderId="47" xfId="1" applyFont="1" applyFill="1" applyBorder="1" applyProtection="1"/>
    <xf numFmtId="0" fontId="20" fillId="2" borderId="49" xfId="14" applyBorder="1"/>
    <xf numFmtId="0" fontId="6" fillId="2" borderId="0" xfId="14" applyFont="1" applyAlignment="1">
      <alignment horizontal="left"/>
    </xf>
    <xf numFmtId="0" fontId="15" fillId="2" borderId="28" xfId="14" applyFont="1" applyBorder="1"/>
    <xf numFmtId="37" fontId="14" fillId="2" borderId="15" xfId="14" applyNumberFormat="1" applyFont="1" applyBorder="1"/>
    <xf numFmtId="37" fontId="14" fillId="2" borderId="50" xfId="14" applyNumberFormat="1" applyFont="1" applyBorder="1"/>
    <xf numFmtId="37" fontId="60" fillId="2" borderId="9" xfId="15" applyNumberFormat="1" applyFont="1" applyBorder="1"/>
    <xf numFmtId="37" fontId="60" fillId="2" borderId="39" xfId="14" applyNumberFormat="1" applyFont="1" applyBorder="1"/>
    <xf numFmtId="37" fontId="14" fillId="2" borderId="9" xfId="14" applyNumberFormat="1" applyFont="1" applyBorder="1"/>
    <xf numFmtId="37" fontId="28" fillId="2" borderId="0" xfId="14" applyNumberFormat="1" applyFont="1" applyAlignment="1">
      <alignment horizontal="left" vertical="center"/>
    </xf>
    <xf numFmtId="0" fontId="0" fillId="0" borderId="10" xfId="0" applyBorder="1" applyAlignment="1">
      <alignment horizontal="left" vertical="center" wrapText="1"/>
    </xf>
    <xf numFmtId="37" fontId="28" fillId="2" borderId="10" xfId="14" applyNumberFormat="1" applyFont="1" applyBorder="1" applyAlignment="1">
      <alignment horizontal="left" vertical="center"/>
    </xf>
    <xf numFmtId="0" fontId="0" fillId="0" borderId="10" xfId="0" applyBorder="1"/>
    <xf numFmtId="37" fontId="13" fillId="2" borderId="2" xfId="14" applyNumberFormat="1" applyFont="1" applyBorder="1"/>
    <xf numFmtId="37" fontId="13" fillId="2" borderId="30" xfId="14" applyNumberFormat="1" applyFont="1" applyBorder="1"/>
    <xf numFmtId="37" fontId="13" fillId="2" borderId="1" xfId="14" applyNumberFormat="1" applyFont="1" applyBorder="1"/>
    <xf numFmtId="0" fontId="6" fillId="2" borderId="46" xfId="13" applyFont="1" applyBorder="1"/>
    <xf numFmtId="37" fontId="13" fillId="2" borderId="35" xfId="14" applyNumberFormat="1" applyFont="1" applyBorder="1" applyAlignment="1">
      <alignment horizontal="centerContinuous"/>
    </xf>
    <xf numFmtId="37" fontId="13" fillId="2" borderId="1" xfId="14" applyNumberFormat="1" applyFont="1" applyBorder="1" applyAlignment="1">
      <alignment horizontal="centerContinuous"/>
    </xf>
    <xf numFmtId="37" fontId="13" fillId="2" borderId="32" xfId="14" applyNumberFormat="1" applyFont="1" applyBorder="1" applyAlignment="1">
      <alignment horizontal="centerContinuous"/>
    </xf>
    <xf numFmtId="37" fontId="13" fillId="2" borderId="15" xfId="14" applyNumberFormat="1" applyFont="1" applyBorder="1" applyAlignment="1">
      <alignment horizontal="center"/>
    </xf>
    <xf numFmtId="37" fontId="13" fillId="2" borderId="16" xfId="14" applyNumberFormat="1" applyFont="1" applyBorder="1" applyAlignment="1">
      <alignment horizontal="centerContinuous"/>
    </xf>
    <xf numFmtId="37" fontId="13" fillId="2" borderId="4" xfId="14" applyNumberFormat="1" applyFont="1" applyBorder="1" applyAlignment="1">
      <alignment horizontal="centerContinuous"/>
    </xf>
    <xf numFmtId="37" fontId="13" fillId="2" borderId="51" xfId="14" applyNumberFormat="1" applyFont="1" applyBorder="1" applyAlignment="1">
      <alignment horizontal="centerContinuous"/>
    </xf>
    <xf numFmtId="37" fontId="13" fillId="2" borderId="52" xfId="14" applyNumberFormat="1" applyFont="1" applyBorder="1" applyAlignment="1">
      <alignment horizontal="centerContinuous"/>
    </xf>
    <xf numFmtId="37" fontId="13" fillId="2" borderId="34" xfId="14" applyNumberFormat="1" applyFont="1" applyBorder="1" applyAlignment="1">
      <alignment horizontal="centerContinuous"/>
    </xf>
    <xf numFmtId="37" fontId="13" fillId="2" borderId="31" xfId="14" applyNumberFormat="1" applyFont="1" applyBorder="1" applyAlignment="1">
      <alignment horizontal="center"/>
    </xf>
    <xf numFmtId="37" fontId="14" fillId="0" borderId="15" xfId="14" applyNumberFormat="1" applyFont="1" applyFill="1" applyBorder="1"/>
    <xf numFmtId="37" fontId="13" fillId="2" borderId="0" xfId="14" applyNumberFormat="1" applyFont="1" applyAlignment="1">
      <alignment horizontal="left"/>
    </xf>
    <xf numFmtId="0" fontId="15" fillId="0" borderId="28" xfId="13" applyFont="1" applyFill="1" applyBorder="1"/>
    <xf numFmtId="37" fontId="14" fillId="2" borderId="3" xfId="14" applyNumberFormat="1" applyFont="1" applyBorder="1"/>
    <xf numFmtId="37" fontId="14" fillId="2" borderId="5" xfId="14" applyNumberFormat="1" applyFont="1" applyBorder="1"/>
    <xf numFmtId="165" fontId="14" fillId="2" borderId="3" xfId="14" applyNumberFormat="1" applyFont="1" applyBorder="1" applyAlignment="1">
      <alignment horizontal="right"/>
    </xf>
    <xf numFmtId="37" fontId="13" fillId="0" borderId="0" xfId="14" applyNumberFormat="1" applyFont="1" applyFill="1"/>
    <xf numFmtId="37" fontId="13" fillId="0" borderId="0" xfId="14" applyNumberFormat="1" applyFont="1" applyFill="1" applyAlignment="1">
      <alignment horizontal="left"/>
    </xf>
    <xf numFmtId="37" fontId="14" fillId="0" borderId="5" xfId="14" applyNumberFormat="1" applyFont="1" applyFill="1" applyBorder="1"/>
    <xf numFmtId="37" fontId="14" fillId="0" borderId="3" xfId="14" applyNumberFormat="1" applyFont="1" applyFill="1" applyBorder="1"/>
    <xf numFmtId="0" fontId="15" fillId="2" borderId="28" xfId="13" applyFont="1" applyBorder="1" applyAlignment="1">
      <alignment horizontal="left"/>
    </xf>
    <xf numFmtId="37" fontId="6" fillId="2" borderId="3" xfId="14" applyNumberFormat="1" applyFont="1" applyBorder="1"/>
    <xf numFmtId="0" fontId="15" fillId="2" borderId="0" xfId="14" applyFont="1"/>
    <xf numFmtId="0" fontId="15" fillId="0" borderId="0" xfId="14" applyFont="1" applyFill="1"/>
    <xf numFmtId="37" fontId="6" fillId="0" borderId="3" xfId="14" applyNumberFormat="1" applyFont="1" applyFill="1" applyBorder="1"/>
    <xf numFmtId="165" fontId="14" fillId="0" borderId="3" xfId="14" applyNumberFormat="1" applyFont="1" applyFill="1" applyBorder="1" applyAlignment="1">
      <alignment horizontal="right"/>
    </xf>
    <xf numFmtId="37" fontId="6" fillId="0" borderId="5" xfId="14" applyNumberFormat="1" applyFont="1" applyFill="1" applyBorder="1"/>
    <xf numFmtId="165" fontId="14" fillId="0" borderId="5" xfId="14" applyNumberFormat="1" applyFont="1" applyFill="1" applyBorder="1" applyAlignment="1">
      <alignment horizontal="right"/>
    </xf>
    <xf numFmtId="0" fontId="6" fillId="2" borderId="0" xfId="14" applyFont="1" applyAlignment="1">
      <alignment horizontal="centerContinuous"/>
    </xf>
    <xf numFmtId="37" fontId="14" fillId="2" borderId="0" xfId="14" applyNumberFormat="1" applyFont="1" applyAlignment="1">
      <alignment horizontal="right"/>
    </xf>
    <xf numFmtId="37" fontId="14" fillId="2" borderId="0" xfId="15" applyNumberFormat="1" applyFont="1" applyAlignment="1">
      <alignment horizontal="centerContinuous"/>
    </xf>
    <xf numFmtId="0" fontId="20" fillId="2" borderId="0" xfId="15"/>
    <xf numFmtId="0" fontId="6" fillId="2" borderId="32" xfId="15" applyFont="1" applyBorder="1"/>
    <xf numFmtId="37" fontId="13" fillId="2" borderId="30" xfId="15" applyNumberFormat="1" applyFont="1" applyBorder="1" applyAlignment="1">
      <alignment horizontal="center"/>
    </xf>
    <xf numFmtId="37" fontId="13" fillId="2" borderId="53" xfId="15" applyNumberFormat="1" applyFont="1" applyBorder="1" applyAlignment="1">
      <alignment horizontal="center"/>
    </xf>
    <xf numFmtId="49" fontId="6" fillId="2" borderId="0" xfId="15" applyNumberFormat="1" applyFont="1" applyAlignment="1">
      <alignment horizontal="center"/>
    </xf>
    <xf numFmtId="37" fontId="13" fillId="2" borderId="25" xfId="15" applyNumberFormat="1" applyFont="1" applyBorder="1" applyAlignment="1">
      <alignment horizontal="center"/>
    </xf>
    <xf numFmtId="37" fontId="13" fillId="2" borderId="54" xfId="15" applyNumberFormat="1" applyFont="1" applyBorder="1" applyAlignment="1">
      <alignment horizontal="center"/>
    </xf>
    <xf numFmtId="0" fontId="15" fillId="0" borderId="23" xfId="0" applyFont="1" applyBorder="1"/>
    <xf numFmtId="0" fontId="15" fillId="0" borderId="19" xfId="0" applyFont="1" applyBorder="1" applyAlignment="1">
      <alignment horizontal="center"/>
    </xf>
    <xf numFmtId="0" fontId="15" fillId="0" borderId="9" xfId="0" applyFont="1" applyBorder="1" applyAlignment="1">
      <alignment horizontal="center"/>
    </xf>
    <xf numFmtId="37" fontId="13" fillId="2" borderId="16" xfId="15" applyNumberFormat="1" applyFont="1" applyBorder="1"/>
    <xf numFmtId="0" fontId="6" fillId="2" borderId="34" xfId="15" applyFont="1" applyBorder="1"/>
    <xf numFmtId="37" fontId="13" fillId="2" borderId="16" xfId="15" applyNumberFormat="1" applyFont="1" applyBorder="1" applyAlignment="1">
      <alignment horizontal="center"/>
    </xf>
    <xf numFmtId="37" fontId="13" fillId="2" borderId="5" xfId="15" applyNumberFormat="1" applyFont="1" applyBorder="1" applyAlignment="1">
      <alignment horizontal="center"/>
    </xf>
    <xf numFmtId="37" fontId="13" fillId="2" borderId="55" xfId="15" applyNumberFormat="1" applyFont="1" applyBorder="1" applyAlignment="1">
      <alignment horizontal="center"/>
    </xf>
    <xf numFmtId="0" fontId="6" fillId="0" borderId="56" xfId="0" applyFont="1" applyBorder="1"/>
    <xf numFmtId="3" fontId="6" fillId="2" borderId="19" xfId="15" applyNumberFormat="1" applyFont="1" applyBorder="1"/>
    <xf numFmtId="3" fontId="6" fillId="2" borderId="9" xfId="15" applyNumberFormat="1" applyFont="1" applyBorder="1"/>
    <xf numFmtId="0" fontId="6" fillId="0" borderId="0" xfId="15" applyFont="1" applyFill="1"/>
    <xf numFmtId="37" fontId="14" fillId="0" borderId="30" xfId="15" applyNumberFormat="1" applyFont="1" applyFill="1" applyBorder="1"/>
    <xf numFmtId="165" fontId="14" fillId="0" borderId="8" xfId="15" applyNumberFormat="1" applyFont="1" applyFill="1" applyBorder="1"/>
    <xf numFmtId="37" fontId="14" fillId="0" borderId="28" xfId="15" applyNumberFormat="1" applyFont="1" applyFill="1" applyBorder="1"/>
    <xf numFmtId="37" fontId="14" fillId="0" borderId="9" xfId="15" applyNumberFormat="1" applyFont="1" applyFill="1" applyBorder="1"/>
    <xf numFmtId="37" fontId="14" fillId="5" borderId="28" xfId="15" applyNumberFormat="1" applyFont="1" applyFill="1" applyBorder="1"/>
    <xf numFmtId="0" fontId="6" fillId="5" borderId="0" xfId="15" applyFont="1" applyFill="1"/>
    <xf numFmtId="37" fontId="14" fillId="2" borderId="57" xfId="15" applyNumberFormat="1" applyFont="1" applyBorder="1"/>
    <xf numFmtId="165" fontId="14" fillId="2" borderId="8" xfId="15" applyNumberFormat="1" applyFont="1" applyBorder="1"/>
    <xf numFmtId="0" fontId="64" fillId="0" borderId="49" xfId="15" applyFont="1" applyFill="1" applyBorder="1" applyAlignment="1">
      <alignment horizontal="center" vertical="center" wrapText="1"/>
    </xf>
    <xf numFmtId="0" fontId="6" fillId="0" borderId="28" xfId="0" applyFont="1" applyBorder="1"/>
    <xf numFmtId="0" fontId="6" fillId="0" borderId="49" xfId="0" applyFont="1" applyBorder="1"/>
    <xf numFmtId="0" fontId="60" fillId="0" borderId="56" xfId="0" applyFont="1" applyBorder="1"/>
    <xf numFmtId="37" fontId="14" fillId="2" borderId="31" xfId="15" applyNumberFormat="1" applyFont="1" applyBorder="1"/>
    <xf numFmtId="0" fontId="6" fillId="2" borderId="0" xfId="15" applyFont="1"/>
    <xf numFmtId="165" fontId="14" fillId="2" borderId="58" xfId="15" applyNumberFormat="1" applyFont="1" applyBorder="1"/>
    <xf numFmtId="0" fontId="6" fillId="0" borderId="56" xfId="0" applyFont="1" applyBorder="1" applyAlignment="1">
      <alignment horizontal="left"/>
    </xf>
    <xf numFmtId="38" fontId="14" fillId="2" borderId="31" xfId="15" applyNumberFormat="1" applyFont="1" applyBorder="1"/>
    <xf numFmtId="0" fontId="6" fillId="0" borderId="2" xfId="0" applyFont="1" applyBorder="1"/>
    <xf numFmtId="0" fontId="6" fillId="0" borderId="5" xfId="15" applyFont="1" applyFill="1" applyBorder="1"/>
    <xf numFmtId="165" fontId="14" fillId="0" borderId="58" xfId="15" applyNumberFormat="1" applyFont="1" applyFill="1" applyBorder="1"/>
    <xf numFmtId="37" fontId="13" fillId="2" borderId="0" xfId="15" applyNumberFormat="1" applyFont="1"/>
    <xf numFmtId="37" fontId="14" fillId="0" borderId="25" xfId="15" applyNumberFormat="1" applyFont="1" applyFill="1" applyBorder="1" applyAlignment="1">
      <alignment horizontal="left"/>
    </xf>
    <xf numFmtId="37" fontId="14" fillId="0" borderId="0" xfId="15" applyNumberFormat="1" applyFont="1" applyFill="1"/>
    <xf numFmtId="37" fontId="14" fillId="0" borderId="59" xfId="15" applyNumberFormat="1" applyFont="1" applyFill="1" applyBorder="1"/>
    <xf numFmtId="37" fontId="14" fillId="2" borderId="25" xfId="15" applyNumberFormat="1" applyFont="1" applyBorder="1"/>
    <xf numFmtId="37" fontId="14" fillId="2" borderId="0" xfId="15" applyNumberFormat="1" applyFont="1" applyAlignment="1">
      <alignment horizontal="left"/>
    </xf>
    <xf numFmtId="37" fontId="14" fillId="0" borderId="25" xfId="15" applyNumberFormat="1" applyFont="1" applyFill="1" applyBorder="1"/>
    <xf numFmtId="3" fontId="6" fillId="0" borderId="19" xfId="0" applyNumberFormat="1" applyFont="1" applyBorder="1"/>
    <xf numFmtId="3" fontId="6" fillId="0" borderId="9" xfId="0" applyNumberFormat="1" applyFont="1" applyBorder="1"/>
    <xf numFmtId="0" fontId="8" fillId="0" borderId="28" xfId="0" applyFont="1" applyBorder="1" applyAlignment="1">
      <alignment vertical="top" wrapText="1"/>
    </xf>
    <xf numFmtId="0" fontId="60" fillId="0" borderId="56" xfId="0" applyFont="1" applyBorder="1" applyAlignment="1">
      <alignment horizontal="left"/>
    </xf>
    <xf numFmtId="37" fontId="6" fillId="0" borderId="25" xfId="15" applyNumberFormat="1" applyFont="1" applyFill="1" applyBorder="1"/>
    <xf numFmtId="37" fontId="14" fillId="0" borderId="6" xfId="15" applyNumberFormat="1" applyFont="1" applyFill="1" applyBorder="1"/>
    <xf numFmtId="37" fontId="14" fillId="2" borderId="16" xfId="15" applyNumberFormat="1" applyFont="1" applyBorder="1" applyAlignment="1">
      <alignment horizontal="left"/>
    </xf>
    <xf numFmtId="37" fontId="14" fillId="2" borderId="4" xfId="15" applyNumberFormat="1" applyFont="1" applyBorder="1"/>
    <xf numFmtId="37" fontId="14" fillId="0" borderId="27" xfId="15" applyNumberFormat="1" applyFont="1" applyFill="1" applyBorder="1"/>
    <xf numFmtId="49" fontId="6" fillId="0" borderId="56" xfId="0" applyNumberFormat="1" applyFont="1" applyBorder="1" applyAlignment="1">
      <alignment horizontal="left"/>
    </xf>
    <xf numFmtId="37" fontId="13" fillId="0" borderId="5" xfId="15" applyNumberFormat="1" applyFont="1" applyFill="1" applyBorder="1" applyAlignment="1">
      <alignment horizontal="center" vertical="top" wrapText="1"/>
    </xf>
    <xf numFmtId="37" fontId="13" fillId="0" borderId="16" xfId="15" applyNumberFormat="1" applyFont="1" applyFill="1" applyBorder="1" applyAlignment="1">
      <alignment horizontal="center" wrapText="1"/>
    </xf>
    <xf numFmtId="37" fontId="13" fillId="0" borderId="16" xfId="15" applyNumberFormat="1" applyFont="1" applyFill="1" applyBorder="1" applyAlignment="1">
      <alignment horizontal="center"/>
    </xf>
    <xf numFmtId="37" fontId="14" fillId="2" borderId="30" xfId="15" applyNumberFormat="1" applyFont="1" applyBorder="1"/>
    <xf numFmtId="37" fontId="14" fillId="2" borderId="34" xfId="15" applyNumberFormat="1" applyFont="1" applyBorder="1"/>
    <xf numFmtId="0" fontId="6" fillId="0" borderId="17" xfId="0" applyFont="1" applyBorder="1" applyAlignment="1">
      <alignment horizontal="left"/>
    </xf>
    <xf numFmtId="3" fontId="6" fillId="2" borderId="7" xfId="15" applyNumberFormat="1" applyFont="1" applyBorder="1"/>
    <xf numFmtId="37" fontId="14" fillId="2" borderId="3" xfId="15" applyNumberFormat="1" applyFont="1" applyBorder="1" applyAlignment="1">
      <alignment horizontal="right"/>
    </xf>
    <xf numFmtId="37" fontId="14" fillId="2" borderId="38" xfId="15" applyNumberFormat="1" applyFont="1" applyBorder="1" applyAlignment="1">
      <alignment horizontal="center"/>
    </xf>
    <xf numFmtId="37" fontId="14" fillId="0" borderId="5" xfId="15" applyNumberFormat="1" applyFont="1" applyFill="1" applyBorder="1" applyAlignment="1">
      <alignment horizontal="right"/>
    </xf>
    <xf numFmtId="37" fontId="14" fillId="2" borderId="4" xfId="15" applyNumberFormat="1" applyFont="1" applyBorder="1" applyAlignment="1">
      <alignment horizontal="center"/>
    </xf>
    <xf numFmtId="37" fontId="14" fillId="2" borderId="25" xfId="15" applyNumberFormat="1" applyFont="1" applyBorder="1" applyAlignment="1">
      <alignment horizontal="center"/>
    </xf>
    <xf numFmtId="37" fontId="14" fillId="0" borderId="0" xfId="15" applyNumberFormat="1" applyFont="1" applyFill="1" applyAlignment="1">
      <alignment horizontal="right"/>
    </xf>
    <xf numFmtId="37" fontId="14" fillId="2" borderId="0" xfId="15" applyNumberFormat="1" applyFont="1" applyAlignment="1">
      <alignment horizontal="center"/>
    </xf>
    <xf numFmtId="37" fontId="14" fillId="2" borderId="37" xfId="15" applyNumberFormat="1" applyFont="1" applyBorder="1" applyAlignment="1">
      <alignment horizontal="center"/>
    </xf>
    <xf numFmtId="37" fontId="14" fillId="2" borderId="28" xfId="15" applyNumberFormat="1" applyFont="1" applyBorder="1"/>
    <xf numFmtId="0" fontId="6" fillId="2" borderId="0" xfId="15" applyFont="1" applyAlignment="1">
      <alignment horizontal="center"/>
    </xf>
    <xf numFmtId="37" fontId="14" fillId="2" borderId="28" xfId="15" applyNumberFormat="1" applyFont="1" applyBorder="1" applyAlignment="1">
      <alignment horizontal="center"/>
    </xf>
    <xf numFmtId="0" fontId="6" fillId="2" borderId="28" xfId="15" applyFont="1" applyBorder="1"/>
    <xf numFmtId="37" fontId="14" fillId="2" borderId="2" xfId="15" applyNumberFormat="1" applyFont="1" applyBorder="1" applyAlignment="1">
      <alignment horizontal="center"/>
    </xf>
    <xf numFmtId="49" fontId="14" fillId="2" borderId="0" xfId="15" applyNumberFormat="1" applyFont="1" applyAlignment="1">
      <alignment horizontal="centerContinuous"/>
    </xf>
    <xf numFmtId="167" fontId="14" fillId="2" borderId="0" xfId="15" applyNumberFormat="1" applyFont="1" applyAlignment="1">
      <alignment horizontal="right"/>
    </xf>
    <xf numFmtId="37" fontId="14" fillId="2" borderId="28" xfId="15" applyNumberFormat="1" applyFont="1" applyBorder="1" applyAlignment="1">
      <alignment horizontal="left"/>
    </xf>
    <xf numFmtId="0" fontId="6" fillId="2" borderId="0" xfId="15" applyFont="1" applyAlignment="1">
      <alignment horizontal="right"/>
    </xf>
    <xf numFmtId="37" fontId="14" fillId="2" borderId="51" xfId="15" applyNumberFormat="1" applyFont="1" applyBorder="1" applyAlignment="1">
      <alignment horizontal="left"/>
    </xf>
    <xf numFmtId="0" fontId="6" fillId="2" borderId="10" xfId="15" applyFont="1" applyBorder="1"/>
    <xf numFmtId="0" fontId="6" fillId="2" borderId="52" xfId="15" applyFont="1" applyBorder="1"/>
    <xf numFmtId="0" fontId="4" fillId="0" borderId="12" xfId="0" applyFont="1" applyBorder="1" applyAlignment="1">
      <alignment horizontal="centerContinuous"/>
    </xf>
    <xf numFmtId="0" fontId="10" fillId="0" borderId="0" xfId="0" applyFont="1" applyAlignment="1">
      <alignment horizontal="centerContinuous"/>
    </xf>
    <xf numFmtId="37" fontId="8" fillId="0" borderId="44" xfId="0" applyNumberFormat="1" applyFont="1" applyBorder="1" applyAlignment="1">
      <alignment vertical="center"/>
    </xf>
    <xf numFmtId="0" fontId="10" fillId="0" borderId="0" xfId="0" applyFont="1" applyAlignment="1">
      <alignment wrapText="1"/>
    </xf>
    <xf numFmtId="49" fontId="8" fillId="0" borderId="0" xfId="0" quotePrefix="1" applyNumberFormat="1" applyFont="1" applyAlignment="1">
      <alignment horizontal="right" vertical="top"/>
    </xf>
    <xf numFmtId="174" fontId="8" fillId="0" borderId="10" xfId="0" applyNumberFormat="1" applyFont="1" applyBorder="1"/>
    <xf numFmtId="0" fontId="10" fillId="0" borderId="0" xfId="0" applyFont="1" applyAlignment="1">
      <alignment vertical="center"/>
    </xf>
    <xf numFmtId="0" fontId="36" fillId="4" borderId="0" xfId="8" applyFont="1" applyFill="1" applyAlignment="1" applyProtection="1">
      <alignment vertical="top"/>
    </xf>
    <xf numFmtId="37" fontId="8" fillId="0" borderId="10" xfId="4" applyNumberFormat="1" applyFont="1" applyBorder="1" applyProtection="1"/>
    <xf numFmtId="175" fontId="8" fillId="0" borderId="0" xfId="0" applyNumberFormat="1" applyFont="1"/>
    <xf numFmtId="49" fontId="8" fillId="0" borderId="0" xfId="0" quotePrefix="1" applyNumberFormat="1" applyFont="1"/>
    <xf numFmtId="174" fontId="8" fillId="0" borderId="7" xfId="0" applyNumberFormat="1" applyFont="1" applyBorder="1"/>
    <xf numFmtId="0" fontId="8" fillId="0" borderId="0" xfId="0" quotePrefix="1" applyFont="1" applyAlignment="1">
      <alignment horizontal="right" vertical="top"/>
    </xf>
    <xf numFmtId="0" fontId="10" fillId="0" borderId="10" xfId="0" applyFont="1" applyBorder="1" applyAlignment="1">
      <alignment horizontal="center"/>
    </xf>
    <xf numFmtId="0" fontId="8" fillId="8" borderId="60" xfId="0" applyFont="1" applyFill="1" applyBorder="1"/>
    <xf numFmtId="0" fontId="8" fillId="8" borderId="61" xfId="0" applyFont="1" applyFill="1" applyBorder="1"/>
    <xf numFmtId="0" fontId="8" fillId="8" borderId="62" xfId="0" applyFont="1" applyFill="1" applyBorder="1"/>
    <xf numFmtId="0" fontId="8" fillId="8" borderId="63" xfId="0" applyFont="1" applyFill="1" applyBorder="1"/>
    <xf numFmtId="0" fontId="8" fillId="8" borderId="64" xfId="0" applyFont="1" applyFill="1" applyBorder="1"/>
    <xf numFmtId="49" fontId="8" fillId="0" borderId="9" xfId="0" applyNumberFormat="1" applyFont="1" applyBorder="1" applyAlignment="1">
      <alignment horizontal="center"/>
    </xf>
    <xf numFmtId="49" fontId="8" fillId="0" borderId="22" xfId="0" applyNumberFormat="1" applyFont="1" applyBorder="1" applyAlignment="1">
      <alignment horizontal="center"/>
    </xf>
    <xf numFmtId="0" fontId="8" fillId="0" borderId="9" xfId="0" applyFont="1" applyBorder="1" applyAlignment="1">
      <alignment horizontal="center"/>
    </xf>
    <xf numFmtId="0" fontId="94" fillId="0" borderId="28" xfId="0" applyFont="1" applyBorder="1"/>
    <xf numFmtId="0" fontId="71" fillId="4" borderId="0" xfId="8" quotePrefix="1" applyFont="1" applyFill="1" applyProtection="1"/>
    <xf numFmtId="174" fontId="8" fillId="9" borderId="9" xfId="0" applyNumberFormat="1" applyFont="1" applyFill="1" applyBorder="1" applyAlignment="1">
      <alignment horizontal="center"/>
    </xf>
    <xf numFmtId="174" fontId="8" fillId="9" borderId="22" xfId="0" applyNumberFormat="1" applyFont="1" applyFill="1" applyBorder="1" applyAlignment="1">
      <alignment horizontal="center"/>
    </xf>
    <xf numFmtId="174" fontId="8" fillId="0" borderId="9" xfId="0" applyNumberFormat="1" applyFont="1" applyBorder="1" applyAlignment="1">
      <alignment horizontal="right"/>
    </xf>
    <xf numFmtId="174" fontId="8" fillId="0" borderId="9" xfId="0" applyNumberFormat="1" applyFont="1" applyBorder="1"/>
    <xf numFmtId="174" fontId="8" fillId="0" borderId="22" xfId="0" applyNumberFormat="1" applyFont="1" applyBorder="1"/>
    <xf numFmtId="0" fontId="69" fillId="2" borderId="0" xfId="17" applyFont="1"/>
    <xf numFmtId="0" fontId="70" fillId="0" borderId="0" xfId="0" quotePrefix="1" applyFont="1"/>
    <xf numFmtId="0" fontId="71" fillId="0" borderId="0" xfId="0" applyFont="1"/>
    <xf numFmtId="174" fontId="8" fillId="9" borderId="9" xfId="0" applyNumberFormat="1" applyFont="1" applyFill="1" applyBorder="1"/>
    <xf numFmtId="0" fontId="8" fillId="0" borderId="10" xfId="0" applyFont="1" applyBorder="1" applyAlignment="1">
      <alignment vertical="top" wrapText="1"/>
    </xf>
    <xf numFmtId="0" fontId="8" fillId="0" borderId="52" xfId="0" applyFont="1" applyBorder="1" applyAlignment="1">
      <alignment vertical="top" wrapText="1"/>
    </xf>
    <xf numFmtId="0" fontId="10" fillId="0" borderId="9" xfId="0" applyFont="1" applyBorder="1" applyAlignment="1">
      <alignment horizontal="center" wrapText="1"/>
    </xf>
    <xf numFmtId="0" fontId="8" fillId="0" borderId="22" xfId="0" applyFont="1" applyBorder="1" applyAlignment="1">
      <alignment vertical="top"/>
    </xf>
    <xf numFmtId="0" fontId="8" fillId="0" borderId="7" xfId="0" applyFont="1" applyBorder="1"/>
    <xf numFmtId="166" fontId="8" fillId="0" borderId="0" xfId="0" applyNumberFormat="1" applyFont="1" applyAlignment="1">
      <alignment horizontal="right" wrapText="1"/>
    </xf>
    <xf numFmtId="0" fontId="36" fillId="4" borderId="0" xfId="8" quotePrefix="1" applyFont="1" applyFill="1" applyProtection="1"/>
    <xf numFmtId="0" fontId="8" fillId="3" borderId="22" xfId="0" applyFont="1" applyFill="1" applyBorder="1" applyAlignment="1">
      <alignment vertical="top"/>
    </xf>
    <xf numFmtId="0" fontId="8" fillId="3" borderId="7" xfId="0" applyFont="1" applyFill="1" applyBorder="1"/>
    <xf numFmtId="166" fontId="8" fillId="0" borderId="0" xfId="0" applyNumberFormat="1" applyFont="1" applyAlignment="1">
      <alignment horizontal="right"/>
    </xf>
    <xf numFmtId="166" fontId="8" fillId="0" borderId="0" xfId="0" applyNumberFormat="1" applyFont="1"/>
    <xf numFmtId="0" fontId="58" fillId="0" borderId="0" xfId="0" applyFont="1"/>
    <xf numFmtId="0" fontId="62" fillId="0" borderId="10" xfId="0" applyFont="1" applyBorder="1"/>
    <xf numFmtId="0" fontId="62" fillId="3" borderId="51" xfId="0" applyFont="1" applyFill="1" applyBorder="1" applyAlignment="1">
      <alignment vertical="top"/>
    </xf>
    <xf numFmtId="0" fontId="62" fillId="3" borderId="10" xfId="0" applyFont="1" applyFill="1" applyBorder="1"/>
    <xf numFmtId="0" fontId="8" fillId="0" borderId="28" xfId="0" applyFont="1" applyBorder="1"/>
    <xf numFmtId="0" fontId="62" fillId="0" borderId="0" xfId="0" quotePrefix="1" applyFont="1"/>
    <xf numFmtId="0" fontId="62" fillId="0" borderId="51" xfId="0" applyFont="1" applyBorder="1"/>
    <xf numFmtId="174" fontId="62" fillId="0" borderId="9" xfId="0" applyNumberFormat="1" applyFont="1" applyBorder="1" applyAlignment="1">
      <alignment horizontal="right" vertical="top"/>
    </xf>
    <xf numFmtId="2" fontId="8" fillId="0" borderId="0" xfId="0" applyNumberFormat="1" applyFont="1" applyAlignment="1">
      <alignment horizontal="right"/>
    </xf>
    <xf numFmtId="2" fontId="8" fillId="0" borderId="0" xfId="0" applyNumberFormat="1" applyFont="1"/>
    <xf numFmtId="16" fontId="8" fillId="0" borderId="0" xfId="0" quotePrefix="1" applyNumberFormat="1" applyFont="1"/>
    <xf numFmtId="7" fontId="8" fillId="0" borderId="23" xfId="0" applyNumberFormat="1" applyFont="1" applyBorder="1"/>
    <xf numFmtId="0" fontId="8" fillId="3" borderId="22" xfId="0" applyFont="1" applyFill="1" applyBorder="1"/>
    <xf numFmtId="0" fontId="8" fillId="3" borderId="7" xfId="0" applyFont="1" applyFill="1" applyBorder="1" applyAlignment="1">
      <alignment horizontal="right"/>
    </xf>
    <xf numFmtId="0" fontId="8" fillId="0" borderId="22" xfId="0" applyFont="1" applyBorder="1"/>
    <xf numFmtId="0" fontId="8" fillId="0" borderId="7" xfId="0" applyFont="1" applyBorder="1" applyAlignment="1">
      <alignment horizontal="right"/>
    </xf>
    <xf numFmtId="7" fontId="8" fillId="0" borderId="9" xfId="0" applyNumberFormat="1" applyFont="1" applyBorder="1"/>
    <xf numFmtId="0" fontId="8" fillId="0" borderId="0" xfId="8" quotePrefix="1" applyFont="1" applyFill="1" applyAlignment="1" applyProtection="1">
      <alignment horizontal="left"/>
    </xf>
    <xf numFmtId="0" fontId="8" fillId="0" borderId="19" xfId="0" applyFont="1" applyBorder="1" applyAlignment="1">
      <alignment horizontal="right"/>
    </xf>
    <xf numFmtId="0" fontId="8" fillId="0" borderId="7" xfId="0" applyFont="1" applyBorder="1" applyAlignment="1">
      <alignment vertical="top"/>
    </xf>
    <xf numFmtId="39" fontId="8" fillId="0" borderId="9" xfId="0" applyNumberFormat="1" applyFont="1" applyBorder="1"/>
    <xf numFmtId="0" fontId="31" fillId="0" borderId="0" xfId="8" quotePrefix="1" applyFont="1" applyProtection="1"/>
    <xf numFmtId="0" fontId="31" fillId="4" borderId="0" xfId="8" applyFont="1" applyFill="1" applyProtection="1"/>
    <xf numFmtId="0" fontId="8" fillId="0" borderId="22" xfId="0" applyFont="1" applyBorder="1" applyAlignment="1">
      <alignment horizontal="left"/>
    </xf>
    <xf numFmtId="39" fontId="8" fillId="0" borderId="7" xfId="0" applyNumberFormat="1" applyFont="1" applyBorder="1"/>
    <xf numFmtId="39" fontId="8" fillId="0" borderId="0" xfId="0" applyNumberFormat="1" applyFont="1"/>
    <xf numFmtId="0" fontId="8" fillId="3" borderId="22" xfId="0" applyFont="1" applyFill="1" applyBorder="1" applyAlignment="1">
      <alignment horizontal="left"/>
    </xf>
    <xf numFmtId="39" fontId="8" fillId="3" borderId="7" xfId="0" applyNumberFormat="1" applyFont="1" applyFill="1" applyBorder="1"/>
    <xf numFmtId="0" fontId="8" fillId="3" borderId="19" xfId="0" applyFont="1" applyFill="1" applyBorder="1" applyAlignment="1">
      <alignment horizontal="right"/>
    </xf>
    <xf numFmtId="49" fontId="8" fillId="0" borderId="22" xfId="0" applyNumberFormat="1" applyFont="1" applyBorder="1" applyAlignment="1">
      <alignment horizontal="left"/>
    </xf>
    <xf numFmtId="0" fontId="8" fillId="0" borderId="7" xfId="0" applyFont="1" applyBorder="1" applyAlignment="1">
      <alignment horizontal="left"/>
    </xf>
    <xf numFmtId="0" fontId="31" fillId="0" borderId="0" xfId="8" quotePrefix="1" applyFont="1" applyFill="1" applyProtection="1"/>
    <xf numFmtId="0" fontId="8" fillId="0" borderId="0" xfId="0" quotePrefix="1" applyFont="1" applyAlignment="1">
      <alignment vertical="top"/>
    </xf>
    <xf numFmtId="0" fontId="52" fillId="0" borderId="0" xfId="0" applyFont="1" applyBorder="1" applyAlignment="1">
      <alignment horizontal="left" vertical="center"/>
    </xf>
    <xf numFmtId="0" fontId="8" fillId="3" borderId="0" xfId="0" applyFont="1" applyFill="1" applyAlignment="1">
      <alignment horizontal="right"/>
    </xf>
    <xf numFmtId="0" fontId="8" fillId="3" borderId="46" xfId="0" applyFont="1" applyFill="1" applyBorder="1"/>
    <xf numFmtId="0" fontId="8" fillId="3" borderId="20" xfId="0" applyFont="1" applyFill="1" applyBorder="1"/>
    <xf numFmtId="0" fontId="8" fillId="3" borderId="20" xfId="0" applyFont="1" applyFill="1" applyBorder="1" applyAlignment="1">
      <alignment horizontal="right"/>
    </xf>
    <xf numFmtId="0" fontId="10" fillId="0" borderId="0" xfId="0" quotePrefix="1" applyFont="1" applyAlignment="1">
      <alignment vertical="top"/>
    </xf>
    <xf numFmtId="0" fontId="8" fillId="0" borderId="7" xfId="0" applyFont="1" applyBorder="1" applyAlignment="1">
      <alignment horizontal="left" wrapText="1"/>
    </xf>
    <xf numFmtId="0" fontId="8" fillId="3" borderId="7" xfId="0" applyFont="1" applyFill="1" applyBorder="1" applyAlignment="1">
      <alignment horizontal="left" wrapText="1"/>
    </xf>
    <xf numFmtId="0" fontId="8" fillId="0" borderId="0" xfId="0" applyFont="1" applyAlignment="1">
      <alignment horizontal="right" vertical="top"/>
    </xf>
    <xf numFmtId="39" fontId="8" fillId="0" borderId="0" xfId="0" applyNumberFormat="1" applyFont="1" applyAlignment="1">
      <alignment vertical="top"/>
    </xf>
    <xf numFmtId="49" fontId="8" fillId="0" borderId="0" xfId="0" applyNumberFormat="1" applyFont="1" applyAlignment="1">
      <alignment horizontal="right" vertical="top"/>
    </xf>
    <xf numFmtId="0" fontId="8" fillId="3" borderId="7" xfId="0" applyFont="1" applyFill="1" applyBorder="1" applyAlignment="1">
      <alignment horizontal="left"/>
    </xf>
    <xf numFmtId="166" fontId="8" fillId="0" borderId="9" xfId="0" applyNumberFormat="1" applyFont="1" applyBorder="1"/>
    <xf numFmtId="0" fontId="8" fillId="3" borderId="0" xfId="0" applyFont="1" applyFill="1" applyAlignment="1">
      <alignment horizontal="left" wrapText="1"/>
    </xf>
    <xf numFmtId="39" fontId="8" fillId="3" borderId="0" xfId="0" applyNumberFormat="1" applyFont="1" applyFill="1"/>
    <xf numFmtId="0" fontId="71" fillId="0" borderId="0" xfId="0" quotePrefix="1" applyFont="1"/>
    <xf numFmtId="49" fontId="10" fillId="0" borderId="0" xfId="0" applyNumberFormat="1" applyFont="1" applyBorder="1" applyAlignment="1">
      <alignment horizontal="center"/>
    </xf>
    <xf numFmtId="0" fontId="51" fillId="0" borderId="0" xfId="0" applyFont="1"/>
    <xf numFmtId="49" fontId="10" fillId="0" borderId="28" xfId="0" applyNumberFormat="1" applyFont="1" applyBorder="1" applyAlignment="1">
      <alignment wrapText="1"/>
    </xf>
    <xf numFmtId="0" fontId="8" fillId="0" borderId="52" xfId="0" applyFont="1" applyBorder="1"/>
    <xf numFmtId="49" fontId="10" fillId="0" borderId="52" xfId="0" applyNumberFormat="1" applyFont="1" applyBorder="1" applyAlignment="1">
      <alignment horizontal="center"/>
    </xf>
    <xf numFmtId="49" fontId="10" fillId="0" borderId="28" xfId="0" applyNumberFormat="1" applyFont="1" applyBorder="1"/>
    <xf numFmtId="49" fontId="8" fillId="0" borderId="46" xfId="0" applyNumberFormat="1" applyFont="1" applyBorder="1"/>
    <xf numFmtId="49" fontId="8" fillId="0" borderId="35" xfId="0" applyNumberFormat="1" applyFont="1" applyBorder="1"/>
    <xf numFmtId="0" fontId="8" fillId="0" borderId="23" xfId="0" applyFont="1" applyBorder="1"/>
    <xf numFmtId="49" fontId="8" fillId="0" borderId="65" xfId="0" applyNumberFormat="1" applyFont="1" applyBorder="1"/>
    <xf numFmtId="49" fontId="8" fillId="0" borderId="63" xfId="0" applyNumberFormat="1" applyFont="1" applyBorder="1"/>
    <xf numFmtId="49" fontId="8" fillId="0" borderId="66" xfId="0" applyNumberFormat="1" applyFont="1" applyBorder="1"/>
    <xf numFmtId="178" fontId="8" fillId="0" borderId="67" xfId="0" applyNumberFormat="1" applyFont="1" applyBorder="1"/>
    <xf numFmtId="0" fontId="8" fillId="0" borderId="56" xfId="0" applyFont="1" applyBorder="1" applyAlignment="1">
      <alignment horizontal="right"/>
    </xf>
    <xf numFmtId="0" fontId="8" fillId="0" borderId="56" xfId="0" applyFont="1" applyBorder="1"/>
    <xf numFmtId="188" fontId="8" fillId="0" borderId="17" xfId="0" applyNumberFormat="1" applyFont="1" applyBorder="1" applyAlignment="1">
      <alignment horizontal="right"/>
    </xf>
    <xf numFmtId="188" fontId="8" fillId="0" borderId="17" xfId="0" applyNumberFormat="1" applyFont="1" applyBorder="1"/>
    <xf numFmtId="169" fontId="8" fillId="0" borderId="0" xfId="0" applyNumberFormat="1" applyFont="1"/>
    <xf numFmtId="188" fontId="8" fillId="0" borderId="9" xfId="0" applyNumberFormat="1" applyFont="1" applyBorder="1" applyAlignment="1">
      <alignment horizontal="right"/>
    </xf>
    <xf numFmtId="188" fontId="8" fillId="0" borderId="9" xfId="0" applyNumberFormat="1" applyFont="1" applyBorder="1"/>
    <xf numFmtId="166" fontId="8" fillId="0" borderId="9" xfId="0" applyNumberFormat="1" applyFont="1" applyBorder="1" applyAlignment="1">
      <alignment horizontal="right"/>
    </xf>
    <xf numFmtId="166" fontId="8" fillId="0" borderId="17" xfId="0" applyNumberFormat="1" applyFont="1" applyBorder="1"/>
    <xf numFmtId="174" fontId="8" fillId="0" borderId="68" xfId="0" applyNumberFormat="1" applyFont="1" applyBorder="1" applyAlignment="1">
      <alignment horizontal="right"/>
    </xf>
    <xf numFmtId="174" fontId="8" fillId="0" borderId="67" xfId="0" applyNumberFormat="1" applyFont="1" applyBorder="1"/>
    <xf numFmtId="174" fontId="8" fillId="0" borderId="17" xfId="0" applyNumberFormat="1" applyFont="1" applyBorder="1" applyAlignment="1">
      <alignment horizontal="right"/>
    </xf>
    <xf numFmtId="174" fontId="8" fillId="0" borderId="17" xfId="0" applyNumberFormat="1" applyFont="1" applyBorder="1"/>
    <xf numFmtId="0" fontId="8" fillId="9" borderId="69" xfId="0" applyFont="1" applyFill="1" applyBorder="1"/>
    <xf numFmtId="0" fontId="8" fillId="9" borderId="0" xfId="0" applyFont="1" applyFill="1"/>
    <xf numFmtId="0" fontId="8" fillId="0" borderId="65" xfId="0" applyFont="1" applyBorder="1"/>
    <xf numFmtId="0" fontId="8" fillId="0" borderId="63" xfId="0" applyFont="1" applyBorder="1"/>
    <xf numFmtId="0" fontId="8" fillId="9" borderId="65" xfId="0" applyFont="1" applyFill="1" applyBorder="1"/>
    <xf numFmtId="0" fontId="8" fillId="9" borderId="63" xfId="0" applyFont="1" applyFill="1" applyBorder="1"/>
    <xf numFmtId="169" fontId="8" fillId="0" borderId="67" xfId="0" applyNumberFormat="1" applyFont="1" applyBorder="1"/>
    <xf numFmtId="0" fontId="8" fillId="9" borderId="28" xfId="0" applyFont="1" applyFill="1" applyBorder="1"/>
    <xf numFmtId="178" fontId="8" fillId="0" borderId="0" xfId="0" applyNumberFormat="1" applyFont="1"/>
    <xf numFmtId="169" fontId="8" fillId="0" borderId="0" xfId="0" applyNumberFormat="1" applyFont="1" applyAlignment="1">
      <alignment horizontal="right"/>
    </xf>
    <xf numFmtId="0" fontId="8" fillId="0" borderId="22" xfId="0" applyFont="1" applyBorder="1" applyAlignment="1">
      <alignment horizontal="right"/>
    </xf>
    <xf numFmtId="39" fontId="8" fillId="0" borderId="19" xfId="0" applyNumberFormat="1" applyFont="1" applyBorder="1"/>
    <xf numFmtId="0" fontId="7" fillId="0" borderId="0" xfId="0" applyFont="1" applyAlignment="1">
      <alignment wrapText="1"/>
    </xf>
    <xf numFmtId="0" fontId="7" fillId="0" borderId="0" xfId="0" applyFont="1" applyAlignment="1">
      <alignment horizontal="left" wrapText="1"/>
    </xf>
    <xf numFmtId="0" fontId="8" fillId="0" borderId="70" xfId="0" applyFont="1" applyBorder="1" applyAlignment="1">
      <alignment horizontal="right"/>
    </xf>
    <xf numFmtId="39" fontId="8" fillId="0" borderId="71" xfId="0" applyNumberFormat="1" applyFont="1" applyBorder="1"/>
    <xf numFmtId="174" fontId="8" fillId="0" borderId="19" xfId="0" applyNumberFormat="1" applyFont="1" applyBorder="1"/>
    <xf numFmtId="0" fontId="8" fillId="0" borderId="51" xfId="0" applyFont="1" applyBorder="1"/>
    <xf numFmtId="174" fontId="8" fillId="0" borderId="52" xfId="0" applyNumberFormat="1" applyFont="1" applyBorder="1"/>
    <xf numFmtId="39" fontId="8" fillId="0" borderId="52" xfId="0" applyNumberFormat="1" applyFont="1" applyBorder="1"/>
    <xf numFmtId="0" fontId="8" fillId="2" borderId="0" xfId="20" applyFont="1" applyAlignment="1">
      <alignment horizontal="left"/>
    </xf>
    <xf numFmtId="0" fontId="62" fillId="0" borderId="0" xfId="8" applyFont="1" applyProtection="1"/>
    <xf numFmtId="187" fontId="8" fillId="0" borderId="9" xfId="0" applyNumberFormat="1" applyFont="1" applyBorder="1"/>
    <xf numFmtId="44" fontId="8" fillId="0" borderId="9" xfId="0" applyNumberFormat="1" applyFont="1" applyBorder="1"/>
    <xf numFmtId="0" fontId="12" fillId="0" borderId="0" xfId="16" applyFont="1" applyFill="1" applyAlignment="1">
      <alignment horizontal="left" vertical="top"/>
    </xf>
    <xf numFmtId="0" fontId="12" fillId="0" borderId="0" xfId="19" applyFont="1" applyFill="1" applyAlignment="1">
      <alignment horizontal="left" vertical="center"/>
    </xf>
    <xf numFmtId="0" fontId="8" fillId="0" borderId="0" xfId="19" applyFont="1" applyFill="1" applyAlignment="1">
      <alignment horizontal="left" vertical="center"/>
    </xf>
    <xf numFmtId="0" fontId="15" fillId="0" borderId="0" xfId="0" applyFont="1" applyAlignment="1">
      <alignment horizontal="right"/>
    </xf>
    <xf numFmtId="49" fontId="7" fillId="0" borderId="0" xfId="0" applyNumberFormat="1" applyFont="1"/>
    <xf numFmtId="0" fontId="3" fillId="0" borderId="63" xfId="0" applyFont="1" applyBorder="1"/>
    <xf numFmtId="0" fontId="6" fillId="0" borderId="63" xfId="0" applyFont="1" applyBorder="1" applyAlignment="1">
      <alignment horizontal="right"/>
    </xf>
    <xf numFmtId="0" fontId="6" fillId="0" borderId="63" xfId="0" applyFont="1" applyBorder="1"/>
    <xf numFmtId="0" fontId="15" fillId="0" borderId="63" xfId="0" applyFont="1" applyBorder="1" applyAlignment="1">
      <alignment horizontal="right"/>
    </xf>
    <xf numFmtId="0" fontId="15" fillId="0" borderId="0" xfId="0" applyFont="1" applyAlignment="1">
      <alignment horizontal="center" vertical="center" wrapText="1"/>
    </xf>
    <xf numFmtId="0" fontId="15" fillId="0" borderId="0" xfId="0" applyFont="1" applyAlignment="1">
      <alignment horizontal="center" wrapText="1"/>
    </xf>
    <xf numFmtId="0" fontId="6" fillId="0" borderId="0" xfId="0" applyFont="1" applyBorder="1" applyAlignment="1">
      <alignment horizontal="center" vertical="center" wrapText="1"/>
    </xf>
    <xf numFmtId="174" fontId="6" fillId="0" borderId="0" xfId="0" applyNumberFormat="1" applyFont="1" applyAlignment="1">
      <alignment horizontal="right" vertical="center"/>
    </xf>
    <xf numFmtId="174" fontId="6" fillId="0" borderId="0" xfId="0" applyNumberFormat="1" applyFont="1" applyAlignment="1">
      <alignment horizontal="right"/>
    </xf>
    <xf numFmtId="174" fontId="6" fillId="0" borderId="0" xfId="0" applyNumberFormat="1" applyFont="1" applyAlignment="1">
      <alignment horizontal="center"/>
    </xf>
    <xf numFmtId="174" fontId="6" fillId="0" borderId="0" xfId="0" applyNumberFormat="1" applyFont="1" applyBorder="1" applyAlignment="1">
      <alignment horizontal="right" vertical="center"/>
    </xf>
    <xf numFmtId="174" fontId="6" fillId="0" borderId="0" xfId="0" applyNumberFormat="1" applyFont="1" applyBorder="1" applyAlignment="1">
      <alignment horizontal="right"/>
    </xf>
    <xf numFmtId="174" fontId="15" fillId="0" borderId="0" xfId="0" applyNumberFormat="1" applyFont="1" applyBorder="1" applyAlignment="1">
      <alignment horizontal="right" vertical="center"/>
    </xf>
    <xf numFmtId="174" fontId="15" fillId="0" borderId="0" xfId="0" applyNumberFormat="1" applyFont="1" applyAlignment="1">
      <alignment horizontal="right"/>
    </xf>
    <xf numFmtId="0" fontId="15" fillId="0" borderId="0" xfId="0" applyFont="1" applyBorder="1"/>
    <xf numFmtId="174" fontId="15" fillId="0" borderId="0" xfId="0" applyNumberFormat="1" applyFont="1" applyBorder="1" applyAlignment="1">
      <alignment horizontal="right"/>
    </xf>
    <xf numFmtId="0" fontId="69" fillId="0" borderId="0" xfId="0" applyFont="1" applyBorder="1"/>
    <xf numFmtId="173" fontId="69" fillId="0" borderId="0" xfId="0" applyNumberFormat="1" applyFont="1"/>
    <xf numFmtId="0" fontId="10" fillId="0" borderId="63" xfId="0" applyFont="1" applyBorder="1"/>
    <xf numFmtId="175" fontId="8" fillId="0" borderId="63" xfId="0" applyNumberFormat="1" applyFont="1" applyBorder="1" applyAlignment="1">
      <alignment horizontal="right"/>
    </xf>
    <xf numFmtId="175" fontId="10" fillId="0" borderId="63" xfId="0" applyNumberFormat="1" applyFont="1" applyBorder="1" applyAlignment="1">
      <alignment horizontal="right"/>
    </xf>
    <xf numFmtId="0" fontId="69" fillId="0" borderId="63" xfId="0" applyFont="1" applyBorder="1"/>
    <xf numFmtId="0" fontId="69" fillId="0" borderId="0" xfId="0" applyFont="1"/>
    <xf numFmtId="173" fontId="69" fillId="0" borderId="0" xfId="0" applyNumberFormat="1" applyFont="1" applyBorder="1"/>
    <xf numFmtId="0" fontId="15" fillId="0" borderId="0" xfId="0" applyFont="1" applyBorder="1" applyAlignment="1">
      <alignment horizontal="center" vertical="center"/>
    </xf>
    <xf numFmtId="0" fontId="60" fillId="0" borderId="0" xfId="0" applyFont="1" applyAlignment="1">
      <alignment horizontal="center"/>
    </xf>
    <xf numFmtId="174" fontId="60" fillId="0" borderId="0" xfId="0" applyNumberFormat="1" applyFont="1" applyAlignment="1">
      <alignment horizontal="center"/>
    </xf>
    <xf numFmtId="0" fontId="15" fillId="0" borderId="0" xfId="0" applyFont="1" applyBorder="1" applyAlignment="1">
      <alignment vertical="top" wrapText="1"/>
    </xf>
    <xf numFmtId="175" fontId="75" fillId="0" borderId="0" xfId="0" applyNumberFormat="1" applyFont="1" applyAlignment="1">
      <alignment horizontal="right"/>
    </xf>
    <xf numFmtId="174" fontId="15" fillId="0" borderId="0" xfId="0" applyNumberFormat="1" applyFont="1" applyBorder="1" applyAlignment="1">
      <alignment horizontal="right" vertical="top" wrapText="1"/>
    </xf>
    <xf numFmtId="175" fontId="15" fillId="0" borderId="0" xfId="0" applyNumberFormat="1" applyFont="1" applyAlignment="1">
      <alignment horizontal="right"/>
    </xf>
    <xf numFmtId="175" fontId="15" fillId="0" borderId="0" xfId="0" applyNumberFormat="1" applyFont="1" applyBorder="1" applyAlignment="1">
      <alignment horizontal="right" vertical="top" wrapText="1"/>
    </xf>
    <xf numFmtId="174" fontId="75" fillId="0" borderId="0" xfId="0" applyNumberFormat="1" applyFont="1" applyAlignment="1">
      <alignment horizontal="right"/>
    </xf>
    <xf numFmtId="0" fontId="10" fillId="0" borderId="0" xfId="0" applyFont="1" applyBorder="1" applyAlignment="1">
      <alignment horizontal="right"/>
    </xf>
    <xf numFmtId="0" fontId="57" fillId="0" borderId="0" xfId="0" applyFont="1" applyBorder="1" applyAlignment="1">
      <alignment vertical="top"/>
    </xf>
    <xf numFmtId="0" fontId="10" fillId="0" borderId="0" xfId="0" applyFont="1" applyBorder="1"/>
    <xf numFmtId="0" fontId="6" fillId="0" borderId="0" xfId="0" applyFont="1" applyBorder="1" applyAlignment="1">
      <alignment horizontal="center" vertical="top" wrapText="1"/>
    </xf>
    <xf numFmtId="174" fontId="6" fillId="0" borderId="0" xfId="0" applyNumberFormat="1" applyFont="1" applyBorder="1" applyAlignment="1">
      <alignment horizontal="right" wrapText="1"/>
    </xf>
    <xf numFmtId="175" fontId="6" fillId="0" borderId="0" xfId="0" applyNumberFormat="1" applyFont="1" applyBorder="1" applyAlignment="1">
      <alignment horizontal="right" vertical="top" wrapText="1"/>
    </xf>
    <xf numFmtId="0" fontId="8" fillId="0" borderId="0" xfId="0" applyFont="1" applyBorder="1" applyAlignment="1">
      <alignment vertical="top" wrapText="1"/>
    </xf>
    <xf numFmtId="174" fontId="6" fillId="0" borderId="0" xfId="0" applyNumberFormat="1" applyFont="1" applyAlignment="1">
      <alignment horizontal="right" wrapText="1"/>
    </xf>
    <xf numFmtId="0" fontId="6" fillId="0" borderId="0" xfId="0" applyFont="1" applyBorder="1" applyAlignment="1">
      <alignment vertical="top" wrapText="1"/>
    </xf>
    <xf numFmtId="174" fontId="6" fillId="0" borderId="0" xfId="0" applyNumberFormat="1" applyFont="1" applyBorder="1" applyAlignment="1">
      <alignment horizontal="right" vertical="top" wrapText="1"/>
    </xf>
    <xf numFmtId="0" fontId="6" fillId="0" borderId="63" xfId="0" applyFont="1" applyBorder="1" applyAlignment="1">
      <alignment vertical="top" wrapText="1"/>
    </xf>
    <xf numFmtId="0" fontId="6" fillId="0" borderId="63" xfId="0" applyFont="1" applyBorder="1" applyAlignment="1">
      <alignment horizontal="center" vertical="top" wrapText="1"/>
    </xf>
    <xf numFmtId="174" fontId="6" fillId="0" borderId="63" xfId="0" applyNumberFormat="1" applyFont="1" applyBorder="1" applyAlignment="1">
      <alignment horizontal="right" wrapText="1"/>
    </xf>
    <xf numFmtId="174" fontId="6" fillId="0" borderId="63" xfId="0" applyNumberFormat="1" applyFont="1" applyBorder="1" applyAlignment="1">
      <alignment horizontal="right" vertical="top" wrapText="1"/>
    </xf>
    <xf numFmtId="0" fontId="8" fillId="0" borderId="63" xfId="0" applyFont="1" applyBorder="1" applyAlignment="1">
      <alignment vertical="top" wrapText="1"/>
    </xf>
    <xf numFmtId="0" fontId="59" fillId="0" borderId="63" xfId="0" applyFont="1" applyBorder="1"/>
    <xf numFmtId="0" fontId="59" fillId="0" borderId="0" xfId="0" applyFont="1" applyBorder="1"/>
    <xf numFmtId="0" fontId="75" fillId="0" borderId="0" xfId="0" applyFont="1" applyBorder="1"/>
    <xf numFmtId="0" fontId="60" fillId="0" borderId="0" xfId="0" applyFont="1"/>
    <xf numFmtId="185" fontId="15" fillId="0" borderId="0" xfId="4" applyNumberFormat="1" applyFont="1" applyFill="1" applyBorder="1" applyAlignment="1" applyProtection="1">
      <alignment horizontal="right"/>
    </xf>
    <xf numFmtId="44" fontId="6" fillId="0" borderId="0" xfId="2" applyFont="1" applyFill="1" applyAlignment="1" applyProtection="1">
      <alignment horizontal="right"/>
    </xf>
    <xf numFmtId="181" fontId="15" fillId="0" borderId="63" xfId="2" applyNumberFormat="1" applyFont="1" applyFill="1" applyBorder="1" applyAlignment="1" applyProtection="1">
      <alignment horizontal="right"/>
    </xf>
    <xf numFmtId="43" fontId="8" fillId="0" borderId="0" xfId="0" applyNumberFormat="1" applyFont="1"/>
    <xf numFmtId="181" fontId="15" fillId="0" borderId="0" xfId="0" applyNumberFormat="1" applyFont="1" applyAlignment="1">
      <alignment horizontal="right"/>
    </xf>
    <xf numFmtId="174" fontId="15" fillId="0" borderId="63" xfId="0" applyNumberFormat="1" applyFont="1" applyBorder="1" applyAlignment="1">
      <alignment horizontal="right"/>
    </xf>
    <xf numFmtId="0" fontId="50" fillId="0" borderId="0" xfId="0" applyFont="1" applyAlignment="1">
      <alignment vertical="center"/>
    </xf>
    <xf numFmtId="0" fontId="15" fillId="0" borderId="0" xfId="0" applyFont="1" applyAlignment="1">
      <alignment wrapText="1"/>
    </xf>
    <xf numFmtId="173" fontId="15" fillId="0" borderId="0" xfId="0" applyNumberFormat="1" applyFont="1" applyAlignment="1">
      <alignment horizontal="right"/>
    </xf>
    <xf numFmtId="184" fontId="6" fillId="0" borderId="0" xfId="0" applyNumberFormat="1" applyFont="1" applyAlignment="1">
      <alignment horizontal="right"/>
    </xf>
    <xf numFmtId="0" fontId="15" fillId="0" borderId="0" xfId="0" applyFont="1" applyBorder="1" applyAlignment="1">
      <alignment horizontal="left" vertical="top" wrapText="1"/>
    </xf>
    <xf numFmtId="0" fontId="15" fillId="0" borderId="0" xfId="0" applyFont="1" applyBorder="1" applyAlignment="1">
      <alignment horizontal="left" wrapText="1"/>
    </xf>
    <xf numFmtId="0" fontId="15" fillId="0" borderId="0" xfId="0" applyFont="1" applyBorder="1" applyAlignment="1">
      <alignment horizontal="right" wrapText="1"/>
    </xf>
    <xf numFmtId="7" fontId="15" fillId="0" borderId="0" xfId="0" applyNumberFormat="1" applyFont="1" applyBorder="1" applyAlignment="1">
      <alignment horizontal="center" wrapText="1"/>
    </xf>
    <xf numFmtId="0" fontId="6" fillId="0" borderId="0" xfId="0" applyFont="1" applyBorder="1" applyAlignment="1">
      <alignment horizontal="right" wrapText="1"/>
    </xf>
    <xf numFmtId="0" fontId="10" fillId="0" borderId="0" xfId="0" applyFont="1" applyBorder="1" applyAlignment="1">
      <alignment horizontal="left" wrapText="1"/>
    </xf>
    <xf numFmtId="181" fontId="15" fillId="0" borderId="0" xfId="0" applyNumberFormat="1" applyFont="1" applyAlignment="1">
      <alignment horizontal="center"/>
    </xf>
    <xf numFmtId="7" fontId="15" fillId="0" borderId="0" xfId="0" applyNumberFormat="1" applyFont="1" applyAlignment="1">
      <alignment horizontal="right" wrapText="1"/>
    </xf>
    <xf numFmtId="0" fontId="8" fillId="0" borderId="0" xfId="0" applyFont="1" applyBorder="1" applyAlignment="1">
      <alignment wrapText="1"/>
    </xf>
    <xf numFmtId="0" fontId="15" fillId="0" borderId="0" xfId="0" applyFont="1" applyBorder="1" applyAlignment="1">
      <alignment wrapText="1"/>
    </xf>
    <xf numFmtId="181" fontId="15" fillId="0" borderId="0" xfId="0" applyNumberFormat="1" applyFont="1" applyBorder="1" applyAlignment="1">
      <alignment horizontal="right" wrapText="1"/>
    </xf>
    <xf numFmtId="0" fontId="10" fillId="0" borderId="0" xfId="0" applyFont="1" applyBorder="1" applyAlignment="1">
      <alignment wrapText="1"/>
    </xf>
    <xf numFmtId="0" fontId="6" fillId="0" borderId="72" xfId="0" applyFont="1" applyBorder="1"/>
    <xf numFmtId="0" fontId="6" fillId="0" borderId="73" xfId="0" applyFont="1" applyBorder="1"/>
    <xf numFmtId="0" fontId="85" fillId="0" borderId="0" xfId="0" applyFont="1"/>
    <xf numFmtId="0" fontId="57" fillId="0" borderId="0" xfId="0" applyFont="1" applyBorder="1"/>
    <xf numFmtId="0" fontId="57" fillId="0" borderId="0" xfId="0" applyFont="1" applyBorder="1" applyAlignment="1">
      <alignment vertical="center" wrapText="1"/>
    </xf>
    <xf numFmtId="0" fontId="57" fillId="0" borderId="0" xfId="0" applyFont="1" applyBorder="1" applyAlignment="1">
      <alignment vertical="top" wrapText="1"/>
    </xf>
    <xf numFmtId="0" fontId="6" fillId="0" borderId="74" xfId="0" applyFont="1" applyBorder="1"/>
    <xf numFmtId="0" fontId="57" fillId="0" borderId="61" xfId="0" applyFont="1" applyBorder="1" applyAlignment="1">
      <alignment horizontal="left"/>
    </xf>
    <xf numFmtId="7" fontId="6" fillId="0" borderId="0" xfId="0" applyNumberFormat="1" applyFont="1" applyAlignment="1">
      <alignment horizontal="right" wrapText="1"/>
    </xf>
    <xf numFmtId="0" fontId="6" fillId="0" borderId="0" xfId="0" applyFont="1" applyAlignment="1">
      <alignment vertical="center"/>
    </xf>
    <xf numFmtId="0" fontId="6" fillId="0" borderId="74" xfId="0" applyFont="1" applyBorder="1" applyAlignment="1">
      <alignment horizontal="right"/>
    </xf>
    <xf numFmtId="181" fontId="6" fillId="0" borderId="0" xfId="2" applyNumberFormat="1" applyFont="1" applyAlignment="1" applyProtection="1">
      <alignment horizontal="right" wrapText="1"/>
    </xf>
    <xf numFmtId="39" fontId="6" fillId="0" borderId="74" xfId="0" applyNumberFormat="1" applyFont="1" applyBorder="1" applyAlignment="1">
      <alignment horizontal="right" wrapText="1"/>
    </xf>
    <xf numFmtId="181" fontId="6" fillId="0" borderId="63" xfId="2" applyNumberFormat="1" applyFont="1" applyBorder="1" applyAlignment="1" applyProtection="1">
      <alignment horizontal="right" wrapText="1"/>
    </xf>
    <xf numFmtId="174" fontId="6" fillId="0" borderId="74" xfId="0" applyNumberFormat="1" applyFont="1" applyBorder="1" applyAlignment="1">
      <alignment horizontal="right" wrapText="1"/>
    </xf>
    <xf numFmtId="7" fontId="15" fillId="0" borderId="0" xfId="0" applyNumberFormat="1" applyFont="1" applyBorder="1" applyAlignment="1">
      <alignment horizontal="right" wrapText="1"/>
    </xf>
    <xf numFmtId="0" fontId="85" fillId="0" borderId="0" xfId="0" applyFont="1" applyBorder="1"/>
    <xf numFmtId="2" fontId="6" fillId="0" borderId="0" xfId="0" applyNumberFormat="1" applyFont="1"/>
    <xf numFmtId="39" fontId="60" fillId="0" borderId="74" xfId="0" applyNumberFormat="1" applyFont="1" applyBorder="1" applyAlignment="1">
      <alignment horizontal="right" wrapText="1"/>
    </xf>
    <xf numFmtId="0" fontId="85" fillId="0" borderId="63" xfId="0" applyFont="1" applyBorder="1"/>
    <xf numFmtId="181" fontId="6" fillId="0" borderId="74" xfId="2" applyNumberFormat="1" applyFont="1" applyBorder="1" applyAlignment="1" applyProtection="1">
      <alignment horizontal="right" wrapText="1"/>
    </xf>
    <xf numFmtId="0" fontId="6" fillId="0" borderId="64" xfId="0" applyFont="1" applyBorder="1" applyAlignment="1">
      <alignment horizontal="right" wrapText="1"/>
    </xf>
    <xf numFmtId="39" fontId="6" fillId="0" borderId="64" xfId="0" applyNumberFormat="1" applyFont="1" applyBorder="1" applyAlignment="1">
      <alignment horizontal="right" wrapText="1"/>
    </xf>
    <xf numFmtId="0" fontId="6" fillId="0" borderId="0" xfId="0" applyFont="1" applyAlignment="1">
      <alignment horizontal="left" vertical="center"/>
    </xf>
    <xf numFmtId="0" fontId="15" fillId="10" borderId="75" xfId="0" applyFont="1" applyFill="1" applyBorder="1" applyAlignment="1">
      <alignment horizontal="left"/>
    </xf>
    <xf numFmtId="0" fontId="15" fillId="10" borderId="76" xfId="0" applyFont="1" applyFill="1" applyBorder="1" applyAlignment="1">
      <alignment horizontal="left"/>
    </xf>
    <xf numFmtId="181" fontId="15" fillId="10" borderId="76" xfId="2" applyNumberFormat="1" applyFont="1" applyFill="1" applyBorder="1" applyAlignment="1" applyProtection="1">
      <alignment horizontal="right"/>
    </xf>
    <xf numFmtId="0" fontId="6" fillId="0" borderId="74" xfId="0" applyFont="1" applyBorder="1" applyAlignment="1">
      <alignment horizontal="right" wrapText="1"/>
    </xf>
    <xf numFmtId="7" fontId="6" fillId="0" borderId="0" xfId="0" applyNumberFormat="1" applyFont="1" applyAlignment="1">
      <alignment horizontal="right"/>
    </xf>
    <xf numFmtId="7" fontId="6" fillId="0" borderId="74" xfId="0" applyNumberFormat="1" applyFont="1" applyBorder="1" applyAlignment="1">
      <alignment horizontal="right" wrapText="1"/>
    </xf>
    <xf numFmtId="0" fontId="6" fillId="0" borderId="61" xfId="0" applyFont="1" applyBorder="1"/>
    <xf numFmtId="0" fontId="75" fillId="0" borderId="63" xfId="0" applyFont="1" applyBorder="1"/>
    <xf numFmtId="37" fontId="6" fillId="0" borderId="64" xfId="0" applyNumberFormat="1" applyFont="1" applyBorder="1" applyAlignment="1">
      <alignment horizontal="right"/>
    </xf>
    <xf numFmtId="0" fontId="6" fillId="0" borderId="72" xfId="0" applyFont="1" applyBorder="1" applyAlignment="1">
      <alignment horizontal="right"/>
    </xf>
    <xf numFmtId="181" fontId="6" fillId="0" borderId="74" xfId="0" applyNumberFormat="1" applyFont="1" applyBorder="1" applyAlignment="1">
      <alignment horizontal="right"/>
    </xf>
    <xf numFmtId="0" fontId="29" fillId="0" borderId="0" xfId="0" applyFont="1"/>
    <xf numFmtId="181" fontId="6" fillId="0" borderId="0" xfId="0" applyNumberFormat="1" applyFont="1" applyAlignment="1">
      <alignment horizontal="right"/>
    </xf>
    <xf numFmtId="181" fontId="6" fillId="0" borderId="63" xfId="0" applyNumberFormat="1" applyFont="1" applyBorder="1" applyAlignment="1">
      <alignment horizontal="right"/>
    </xf>
    <xf numFmtId="181" fontId="6" fillId="0" borderId="75" xfId="0" applyNumberFormat="1" applyFont="1" applyBorder="1" applyAlignment="1">
      <alignment horizontal="right"/>
    </xf>
    <xf numFmtId="181" fontId="15" fillId="0" borderId="0" xfId="0" applyNumberFormat="1" applyFont="1" applyBorder="1" applyAlignment="1">
      <alignment horizontal="right"/>
    </xf>
    <xf numFmtId="0" fontId="57" fillId="0" borderId="0" xfId="0" applyFont="1" applyAlignment="1">
      <alignment vertical="top"/>
    </xf>
    <xf numFmtId="0" fontId="6" fillId="0" borderId="0" xfId="0" applyFont="1" applyAlignment="1">
      <alignment vertical="top"/>
    </xf>
    <xf numFmtId="0" fontId="57" fillId="0" borderId="0" xfId="0" applyFont="1" applyBorder="1" applyAlignment="1">
      <alignment horizontal="center" vertical="center"/>
    </xf>
    <xf numFmtId="0" fontId="6" fillId="0" borderId="0" xfId="0" applyFont="1" applyBorder="1" applyAlignment="1">
      <alignment vertical="center"/>
    </xf>
    <xf numFmtId="49" fontId="57" fillId="0" borderId="0" xfId="0" applyNumberFormat="1" applyFont="1" applyBorder="1" applyAlignment="1">
      <alignment horizontal="center" vertical="center"/>
    </xf>
    <xf numFmtId="49" fontId="57" fillId="0" borderId="0" xfId="0" applyNumberFormat="1" applyFont="1" applyBorder="1" applyAlignment="1">
      <alignment horizontal="center" vertical="center" wrapText="1"/>
    </xf>
    <xf numFmtId="49" fontId="57" fillId="0" borderId="0" xfId="0" applyNumberFormat="1" applyFont="1" applyBorder="1" applyAlignment="1">
      <alignment vertical="center"/>
    </xf>
    <xf numFmtId="173" fontId="6" fillId="0" borderId="0" xfId="0" applyNumberFormat="1" applyFont="1" applyBorder="1"/>
    <xf numFmtId="173" fontId="6" fillId="0" borderId="0" xfId="0" applyNumberFormat="1" applyFont="1"/>
    <xf numFmtId="173" fontId="6" fillId="0" borderId="0" xfId="0" applyNumberFormat="1" applyFont="1" applyBorder="1" applyAlignment="1">
      <alignment wrapText="1"/>
    </xf>
    <xf numFmtId="0" fontId="85" fillId="0" borderId="0" xfId="0" applyFont="1" applyAlignment="1">
      <alignment horizontal="right"/>
    </xf>
    <xf numFmtId="181" fontId="6" fillId="0" borderId="63" xfId="2" applyNumberFormat="1" applyFont="1" applyFill="1" applyBorder="1" applyAlignment="1" applyProtection="1">
      <alignment horizontal="right"/>
    </xf>
    <xf numFmtId="181" fontId="6" fillId="0" borderId="63" xfId="2" applyNumberFormat="1" applyFont="1" applyFill="1" applyBorder="1" applyAlignment="1" applyProtection="1">
      <alignment horizontal="right" wrapText="1"/>
    </xf>
    <xf numFmtId="2" fontId="6" fillId="0" borderId="0" xfId="0" applyNumberFormat="1" applyFont="1" applyBorder="1" applyAlignment="1">
      <alignment wrapText="1"/>
    </xf>
    <xf numFmtId="0" fontId="85" fillId="0" borderId="63" xfId="0" applyFont="1" applyBorder="1" applyAlignment="1">
      <alignment horizontal="right"/>
    </xf>
    <xf numFmtId="181" fontId="6" fillId="0" borderId="0" xfId="2" applyNumberFormat="1" applyFont="1" applyBorder="1" applyAlignment="1" applyProtection="1">
      <alignment horizontal="right"/>
    </xf>
    <xf numFmtId="2" fontId="6" fillId="0" borderId="0" xfId="0" applyNumberFormat="1" applyFont="1" applyBorder="1"/>
    <xf numFmtId="181" fontId="15" fillId="0" borderId="0" xfId="2" applyNumberFormat="1" applyFont="1" applyAlignment="1" applyProtection="1">
      <alignment horizontal="right"/>
    </xf>
    <xf numFmtId="0" fontId="50" fillId="0" borderId="0" xfId="0" applyFont="1" applyAlignment="1">
      <alignment vertical="top"/>
    </xf>
    <xf numFmtId="174" fontId="6" fillId="0" borderId="63" xfId="0" applyNumberFormat="1" applyFont="1" applyBorder="1" applyAlignment="1">
      <alignment horizontal="right"/>
    </xf>
    <xf numFmtId="187" fontId="6" fillId="0" borderId="63" xfId="0" applyNumberFormat="1" applyFont="1" applyBorder="1" applyAlignment="1">
      <alignment horizontal="right"/>
    </xf>
    <xf numFmtId="0" fontId="6" fillId="0" borderId="0" xfId="0" applyFont="1" applyAlignment="1">
      <alignment vertical="center" wrapText="1"/>
    </xf>
    <xf numFmtId="0" fontId="15" fillId="0" borderId="63" xfId="0" applyFont="1" applyBorder="1" applyAlignment="1">
      <alignment vertical="center"/>
    </xf>
    <xf numFmtId="181" fontId="6" fillId="0" borderId="0" xfId="2" applyNumberFormat="1" applyFont="1" applyFill="1" applyBorder="1" applyAlignment="1" applyProtection="1">
      <alignment horizontal="right"/>
    </xf>
    <xf numFmtId="181" fontId="85" fillId="0" borderId="0" xfId="0" applyNumberFormat="1" applyFont="1" applyAlignment="1">
      <alignment horizontal="right"/>
    </xf>
    <xf numFmtId="0" fontId="15" fillId="0" borderId="63" xfId="0" applyFont="1" applyBorder="1" applyAlignment="1">
      <alignment horizontal="center"/>
    </xf>
    <xf numFmtId="181" fontId="6" fillId="0" borderId="0" xfId="0" applyNumberFormat="1" applyFont="1"/>
    <xf numFmtId="181" fontId="72" fillId="0" borderId="0" xfId="0" applyNumberFormat="1" applyFont="1" applyAlignment="1">
      <alignment horizontal="right"/>
    </xf>
    <xf numFmtId="181" fontId="15" fillId="0" borderId="63" xfId="2" applyNumberFormat="1" applyFont="1" applyBorder="1" applyAlignment="1" applyProtection="1">
      <alignment horizontal="right"/>
    </xf>
    <xf numFmtId="0" fontId="59" fillId="5" borderId="0" xfId="0" applyFont="1" applyFill="1"/>
    <xf numFmtId="0" fontId="57" fillId="0" borderId="0" xfId="0" applyFont="1"/>
    <xf numFmtId="0" fontId="15" fillId="0" borderId="63" xfId="0" applyFont="1" applyBorder="1"/>
    <xf numFmtId="186" fontId="6" fillId="0" borderId="0" xfId="1" applyNumberFormat="1" applyFont="1" applyAlignment="1" applyProtection="1">
      <alignment horizontal="right"/>
    </xf>
    <xf numFmtId="7" fontId="6" fillId="0" borderId="0" xfId="0" applyNumberFormat="1" applyFont="1" applyBorder="1" applyAlignment="1">
      <alignment horizontal="right"/>
    </xf>
    <xf numFmtId="0" fontId="6" fillId="0" borderId="0" xfId="0" applyFont="1" applyBorder="1" applyAlignment="1">
      <alignment horizontal="center"/>
    </xf>
    <xf numFmtId="181" fontId="6" fillId="0" borderId="0" xfId="2" applyNumberFormat="1" applyFont="1" applyFill="1" applyProtection="1"/>
    <xf numFmtId="175" fontId="6" fillId="0" borderId="63" xfId="0" applyNumberFormat="1" applyFont="1" applyBorder="1" applyAlignment="1">
      <alignment horizontal="right"/>
    </xf>
    <xf numFmtId="181" fontId="15" fillId="0" borderId="63" xfId="0" applyNumberFormat="1" applyFont="1" applyBorder="1"/>
    <xf numFmtId="0" fontId="40" fillId="0" borderId="9" xfId="0" applyFont="1" applyBorder="1" applyAlignment="1">
      <alignment horizontal="center" wrapText="1"/>
    </xf>
    <xf numFmtId="0" fontId="40" fillId="0" borderId="9" xfId="0" applyFont="1" applyBorder="1" applyAlignment="1">
      <alignment horizontal="left" wrapText="1"/>
    </xf>
    <xf numFmtId="0" fontId="3" fillId="0" borderId="0" xfId="0" applyFont="1" applyAlignment="1">
      <alignment vertical="top" wrapText="1"/>
    </xf>
    <xf numFmtId="0" fontId="39" fillId="0" borderId="9" xfId="0" applyFont="1" applyBorder="1" applyAlignment="1">
      <alignment horizontal="justify" vertical="top" wrapText="1"/>
    </xf>
    <xf numFmtId="0" fontId="49" fillId="0" borderId="23" xfId="0" applyFont="1" applyBorder="1" applyAlignment="1">
      <alignment vertical="top" wrapText="1"/>
    </xf>
    <xf numFmtId="0" fontId="41" fillId="0" borderId="9" xfId="8" applyFont="1" applyFill="1" applyBorder="1" applyAlignment="1" applyProtection="1">
      <alignment horizontal="justify" vertical="top" wrapText="1"/>
    </xf>
    <xf numFmtId="0" fontId="39" fillId="0" borderId="9" xfId="0" applyFont="1" applyBorder="1" applyAlignment="1">
      <alignment vertical="top" wrapText="1"/>
    </xf>
    <xf numFmtId="0" fontId="39" fillId="0" borderId="9" xfId="0" applyFont="1" applyBorder="1" applyAlignment="1">
      <alignment horizontal="center" vertical="top" wrapText="1"/>
    </xf>
    <xf numFmtId="0" fontId="39" fillId="0" borderId="9" xfId="0" applyFont="1" applyBorder="1" applyAlignment="1">
      <alignment horizontal="center" vertical="center" wrapText="1"/>
    </xf>
    <xf numFmtId="0" fontId="41" fillId="0" borderId="9" xfId="8" applyFont="1" applyBorder="1" applyAlignment="1" applyProtection="1">
      <alignment horizontal="justify" vertical="top" wrapText="1"/>
    </xf>
    <xf numFmtId="0" fontId="39" fillId="0" borderId="23" xfId="0" applyFont="1" applyBorder="1" applyAlignment="1">
      <alignment horizontal="justify" vertical="top" wrapText="1"/>
    </xf>
    <xf numFmtId="0" fontId="49" fillId="0" borderId="9" xfId="0" applyFont="1" applyBorder="1" applyAlignment="1">
      <alignment vertical="top" wrapText="1"/>
    </xf>
    <xf numFmtId="0" fontId="39" fillId="0" borderId="9" xfId="0" applyFont="1" applyBorder="1" applyAlignment="1">
      <alignment horizontal="justify" vertical="top"/>
    </xf>
    <xf numFmtId="49" fontId="39" fillId="5" borderId="9" xfId="0" applyNumberFormat="1" applyFont="1" applyFill="1" applyBorder="1" applyAlignment="1">
      <alignment horizontal="justify" vertical="top" wrapText="1"/>
    </xf>
    <xf numFmtId="0" fontId="41" fillId="0" borderId="9" xfId="8" applyFont="1" applyFill="1" applyBorder="1" applyAlignment="1" applyProtection="1">
      <alignment vertical="top" wrapText="1"/>
    </xf>
    <xf numFmtId="0" fontId="41" fillId="5" borderId="9" xfId="8" applyFont="1" applyFill="1" applyBorder="1" applyAlignment="1" applyProtection="1">
      <alignment horizontal="justify" vertical="top" wrapText="1"/>
    </xf>
    <xf numFmtId="0" fontId="39" fillId="0" borderId="0" xfId="0" applyFont="1" applyAlignment="1">
      <alignment horizontal="center" vertical="top" wrapText="1"/>
    </xf>
    <xf numFmtId="0" fontId="39" fillId="0" borderId="23" xfId="0" applyFont="1" applyBorder="1" applyAlignment="1">
      <alignment vertical="center" wrapText="1"/>
    </xf>
    <xf numFmtId="0" fontId="39" fillId="0" borderId="7" xfId="0" applyFont="1" applyBorder="1" applyAlignment="1">
      <alignment vertical="top" wrapText="1"/>
    </xf>
    <xf numFmtId="0" fontId="39" fillId="0" borderId="7" xfId="0" applyFont="1" applyBorder="1" applyAlignment="1">
      <alignment horizontal="justify" vertical="top" wrapText="1"/>
    </xf>
    <xf numFmtId="0" fontId="3" fillId="0" borderId="9" xfId="0" applyFont="1" applyBorder="1" applyAlignment="1">
      <alignment vertical="top" wrapText="1"/>
    </xf>
    <xf numFmtId="0" fontId="41" fillId="2" borderId="0" xfId="8" applyFont="1" applyFill="1" applyAlignment="1" applyProtection="1">
      <alignment vertical="center" wrapText="1"/>
    </xf>
    <xf numFmtId="0" fontId="39" fillId="2" borderId="9" xfId="8" applyFont="1" applyFill="1" applyBorder="1" applyAlignment="1" applyProtection="1">
      <alignment vertical="top" wrapText="1"/>
    </xf>
    <xf numFmtId="0" fontId="41" fillId="0" borderId="9" xfId="8" applyFont="1" applyBorder="1" applyAlignment="1" applyProtection="1">
      <alignment vertical="center" wrapText="1"/>
    </xf>
    <xf numFmtId="0" fontId="41" fillId="0" borderId="7" xfId="8" applyFont="1" applyBorder="1" applyAlignment="1" applyProtection="1">
      <alignment vertical="top" wrapText="1"/>
    </xf>
    <xf numFmtId="0" fontId="39" fillId="0" borderId="0" xfId="0" applyFont="1" applyAlignment="1">
      <alignment vertical="top" wrapText="1"/>
    </xf>
    <xf numFmtId="0" fontId="39" fillId="0" borderId="0" xfId="0" applyFont="1" applyAlignment="1">
      <alignment horizontal="center" vertical="center" wrapText="1"/>
    </xf>
    <xf numFmtId="0" fontId="62" fillId="3" borderId="22" xfId="0" applyFont="1" applyFill="1" applyBorder="1" applyAlignment="1">
      <alignment horizontal="left"/>
    </xf>
    <xf numFmtId="171" fontId="6" fillId="0" borderId="55" xfId="0" applyNumberFormat="1" applyFont="1" applyBorder="1" applyProtection="1">
      <protection locked="0"/>
    </xf>
    <xf numFmtId="171" fontId="6" fillId="0" borderId="77" xfId="0" applyNumberFormat="1" applyFont="1" applyBorder="1" applyProtection="1">
      <protection locked="0"/>
    </xf>
    <xf numFmtId="0" fontId="10" fillId="0" borderId="4" xfId="0" applyFont="1" applyBorder="1" applyAlignment="1">
      <alignment horizontal="center"/>
    </xf>
    <xf numFmtId="37" fontId="8" fillId="0" borderId="0" xfId="0" applyNumberFormat="1" applyFont="1" applyBorder="1"/>
    <xf numFmtId="0" fontId="0" fillId="0" borderId="0" xfId="0" applyBorder="1"/>
    <xf numFmtId="37" fontId="12" fillId="0" borderId="0" xfId="0" applyNumberFormat="1" applyFont="1" applyBorder="1"/>
    <xf numFmtId="37" fontId="8" fillId="0" borderId="78" xfId="0" applyNumberFormat="1" applyFont="1" applyBorder="1"/>
    <xf numFmtId="37" fontId="8" fillId="0" borderId="9" xfId="0" applyNumberFormat="1" applyFont="1" applyBorder="1" applyProtection="1">
      <protection locked="0"/>
    </xf>
    <xf numFmtId="37" fontId="12" fillId="0" borderId="9" xfId="0" applyNumberFormat="1" applyFont="1" applyBorder="1" applyProtection="1">
      <protection locked="0"/>
    </xf>
    <xf numFmtId="7" fontId="8" fillId="11" borderId="9" xfId="0" applyNumberFormat="1" applyFont="1" applyFill="1" applyBorder="1" applyProtection="1">
      <protection locked="0"/>
    </xf>
    <xf numFmtId="7" fontId="8" fillId="11" borderId="17" xfId="0" applyNumberFormat="1" applyFont="1" applyFill="1" applyBorder="1" applyProtection="1">
      <protection locked="0"/>
    </xf>
    <xf numFmtId="0" fontId="73" fillId="0" borderId="0" xfId="0" quotePrefix="1" applyFont="1" applyAlignment="1">
      <alignment vertical="top"/>
    </xf>
    <xf numFmtId="0" fontId="69" fillId="5" borderId="0" xfId="0" applyFont="1" applyFill="1"/>
    <xf numFmtId="0" fontId="39" fillId="5" borderId="9" xfId="0" applyFont="1" applyFill="1" applyBorder="1" applyAlignment="1">
      <alignment vertical="top" wrapText="1"/>
    </xf>
    <xf numFmtId="0" fontId="39" fillId="5" borderId="9" xfId="0" applyFont="1" applyFill="1" applyBorder="1" applyAlignment="1">
      <alignment horizontal="center" vertical="top" wrapText="1"/>
    </xf>
    <xf numFmtId="0" fontId="3" fillId="5" borderId="0" xfId="0" applyFont="1" applyFill="1" applyAlignment="1">
      <alignment vertical="top" wrapText="1"/>
    </xf>
    <xf numFmtId="49" fontId="12" fillId="0" borderId="0" xfId="0" applyNumberFormat="1" applyFont="1"/>
    <xf numFmtId="49" fontId="8" fillId="0" borderId="0" xfId="0" applyNumberFormat="1" applyFont="1" applyAlignment="1">
      <alignment vertical="center"/>
    </xf>
    <xf numFmtId="49" fontId="62" fillId="0" borderId="0" xfId="0" applyNumberFormat="1" applyFont="1"/>
    <xf numFmtId="4" fontId="8" fillId="0" borderId="32" xfId="0" applyNumberFormat="1" applyFont="1" applyBorder="1"/>
    <xf numFmtId="0" fontId="3" fillId="0" borderId="23" xfId="0" applyFont="1" applyBorder="1"/>
    <xf numFmtId="0" fontId="3" fillId="0" borderId="79" xfId="0" applyFont="1" applyBorder="1"/>
    <xf numFmtId="0" fontId="3" fillId="0" borderId="49" xfId="0" applyFont="1" applyBorder="1"/>
    <xf numFmtId="38" fontId="24" fillId="0" borderId="80" xfId="0" applyNumberFormat="1" applyFont="1" applyBorder="1" applyAlignment="1">
      <alignment vertical="top"/>
    </xf>
    <xf numFmtId="38" fontId="24" fillId="0" borderId="80" xfId="0" applyNumberFormat="1" applyFont="1" applyBorder="1" applyProtection="1">
      <protection locked="0"/>
    </xf>
    <xf numFmtId="37" fontId="8" fillId="7" borderId="81" xfId="0" applyNumberFormat="1" applyFont="1" applyFill="1" applyBorder="1"/>
    <xf numFmtId="37" fontId="8" fillId="7" borderId="15" xfId="0" applyNumberFormat="1" applyFont="1" applyFill="1" applyBorder="1"/>
    <xf numFmtId="0" fontId="0" fillId="7" borderId="82" xfId="0" applyFill="1" applyBorder="1"/>
    <xf numFmtId="0" fontId="0" fillId="7" borderId="5" xfId="0" applyFill="1" applyBorder="1"/>
    <xf numFmtId="37" fontId="8" fillId="0" borderId="30" xfId="0" applyNumberFormat="1" applyFont="1" applyBorder="1" applyAlignment="1">
      <alignment horizontal="right"/>
    </xf>
    <xf numFmtId="3" fontId="8" fillId="0" borderId="16" xfId="0" applyNumberFormat="1" applyFont="1" applyBorder="1" applyAlignment="1" applyProtection="1">
      <alignment horizontal="right"/>
      <protection locked="0"/>
    </xf>
    <xf numFmtId="49" fontId="8" fillId="0" borderId="0" xfId="0" quotePrefix="1" applyNumberFormat="1" applyFont="1" applyBorder="1" applyAlignment="1">
      <alignment horizontal="left"/>
    </xf>
    <xf numFmtId="165" fontId="8" fillId="0" borderId="32" xfId="0" applyNumberFormat="1" applyFont="1" applyBorder="1" applyAlignment="1">
      <alignment horizontal="right"/>
    </xf>
    <xf numFmtId="37" fontId="8" fillId="0" borderId="5" xfId="0" applyNumberFormat="1" applyFont="1" applyBorder="1" applyAlignment="1">
      <alignment horizontal="right"/>
    </xf>
    <xf numFmtId="37" fontId="8" fillId="0" borderId="31" xfId="0" applyNumberFormat="1" applyFont="1" applyBorder="1" applyAlignment="1">
      <alignment horizontal="right"/>
    </xf>
    <xf numFmtId="165" fontId="8" fillId="2" borderId="31" xfId="0" applyNumberFormat="1" applyFont="1" applyFill="1" applyBorder="1" applyAlignment="1">
      <alignment horizontal="right"/>
    </xf>
    <xf numFmtId="0" fontId="0" fillId="0" borderId="23" xfId="0" applyBorder="1"/>
    <xf numFmtId="37" fontId="8" fillId="0" borderId="9" xfId="0" applyNumberFormat="1" applyFont="1" applyBorder="1" applyAlignment="1">
      <alignment horizontal="right"/>
    </xf>
    <xf numFmtId="4" fontId="12" fillId="0" borderId="25" xfId="0" applyNumberFormat="1" applyFont="1" applyBorder="1"/>
    <xf numFmtId="4" fontId="12" fillId="0" borderId="2" xfId="0" applyNumberFormat="1" applyFont="1" applyBorder="1"/>
    <xf numFmtId="37" fontId="12" fillId="0" borderId="31" xfId="0" applyNumberFormat="1" applyFont="1" applyBorder="1"/>
    <xf numFmtId="3" fontId="8" fillId="7" borderId="15" xfId="0" applyNumberFormat="1" applyFont="1" applyFill="1" applyBorder="1"/>
    <xf numFmtId="3" fontId="0" fillId="7" borderId="5" xfId="0" applyNumberFormat="1" applyFill="1" applyBorder="1"/>
    <xf numFmtId="0" fontId="3" fillId="0" borderId="15" xfId="0" applyFont="1" applyBorder="1"/>
    <xf numFmtId="3" fontId="8" fillId="0" borderId="30" xfId="0" applyNumberFormat="1" applyFont="1" applyBorder="1"/>
    <xf numFmtId="0" fontId="6" fillId="0" borderId="0" xfId="0" quotePrefix="1" applyFont="1" applyBorder="1" applyAlignment="1">
      <alignment horizontal="left"/>
    </xf>
    <xf numFmtId="0" fontId="20" fillId="2" borderId="23" xfId="14" applyBorder="1"/>
    <xf numFmtId="182" fontId="20" fillId="0" borderId="56" xfId="14" applyNumberFormat="1" applyFill="1" applyBorder="1"/>
    <xf numFmtId="171" fontId="14" fillId="0" borderId="56" xfId="14" applyNumberFormat="1" applyFont="1" applyFill="1" applyBorder="1"/>
    <xf numFmtId="37" fontId="13" fillId="2" borderId="31" xfId="14" applyNumberFormat="1" applyFont="1" applyBorder="1"/>
    <xf numFmtId="0" fontId="26" fillId="0" borderId="0" xfId="0" applyFont="1" applyBorder="1"/>
    <xf numFmtId="37" fontId="8" fillId="0" borderId="83" xfId="4" applyNumberFormat="1" applyFont="1" applyBorder="1" applyProtection="1"/>
    <xf numFmtId="0" fontId="39" fillId="5" borderId="9" xfId="0" applyFont="1" applyFill="1" applyBorder="1" applyAlignment="1">
      <alignment horizontal="center" vertical="center" wrapText="1"/>
    </xf>
    <xf numFmtId="0" fontId="7" fillId="0" borderId="4" xfId="0" applyFont="1" applyBorder="1" applyAlignment="1">
      <alignment horizontal="centerContinuous"/>
    </xf>
    <xf numFmtId="0" fontId="3" fillId="0" borderId="4" xfId="0" applyFont="1" applyBorder="1" applyAlignment="1">
      <alignment horizontal="centerContinuous"/>
    </xf>
    <xf numFmtId="0" fontId="9" fillId="0" borderId="0" xfId="0" applyFont="1" applyAlignment="1">
      <alignment horizontal="left"/>
    </xf>
    <xf numFmtId="0" fontId="76" fillId="0" borderId="10" xfId="0" applyFont="1" applyBorder="1"/>
    <xf numFmtId="0" fontId="60" fillId="0" borderId="23" xfId="0" applyFont="1" applyBorder="1" applyAlignment="1">
      <alignment horizontal="center"/>
    </xf>
    <xf numFmtId="0" fontId="8" fillId="0" borderId="39" xfId="0" applyFont="1" applyBorder="1" applyAlignment="1">
      <alignment horizontal="center" wrapText="1"/>
    </xf>
    <xf numFmtId="0" fontId="8" fillId="0" borderId="79" xfId="0" applyFont="1" applyBorder="1" applyAlignment="1">
      <alignment horizontal="center"/>
    </xf>
    <xf numFmtId="0" fontId="8" fillId="0" borderId="56" xfId="0" applyFont="1" applyBorder="1" applyAlignment="1">
      <alignment horizontal="center"/>
    </xf>
    <xf numFmtId="164" fontId="10" fillId="0" borderId="0" xfId="0" applyNumberFormat="1" applyFont="1" applyAlignment="1">
      <alignment horizontal="left"/>
    </xf>
    <xf numFmtId="164" fontId="22" fillId="0" borderId="0" xfId="0" applyNumberFormat="1" applyFont="1"/>
    <xf numFmtId="0" fontId="22" fillId="0" borderId="16" xfId="0" applyFont="1" applyBorder="1" applyAlignment="1">
      <alignment horizontal="centerContinuous"/>
    </xf>
    <xf numFmtId="0" fontId="12" fillId="0" borderId="34" xfId="0" applyFont="1" applyBorder="1" applyAlignment="1">
      <alignment horizontal="centerContinuous"/>
    </xf>
    <xf numFmtId="49" fontId="0" fillId="0" borderId="0" xfId="0" applyNumberFormat="1"/>
    <xf numFmtId="37" fontId="22" fillId="0" borderId="0" xfId="13" applyNumberFormat="1" applyFont="1" applyFill="1" applyAlignment="1">
      <alignment horizontal="center"/>
    </xf>
    <xf numFmtId="0" fontId="8" fillId="0" borderId="0" xfId="13" applyFont="1" applyFill="1"/>
    <xf numFmtId="37" fontId="22" fillId="0" borderId="0" xfId="13" applyNumberFormat="1" applyFont="1" applyFill="1" applyAlignment="1">
      <alignment horizontal="right"/>
    </xf>
    <xf numFmtId="37" fontId="30" fillId="0" borderId="0" xfId="13" applyNumberFormat="1" applyFont="1" applyFill="1" applyAlignment="1">
      <alignment horizontal="left"/>
    </xf>
    <xf numFmtId="37" fontId="24" fillId="0" borderId="0" xfId="13" applyNumberFormat="1" applyFont="1" applyFill="1"/>
    <xf numFmtId="37" fontId="30" fillId="0" borderId="0" xfId="13" applyNumberFormat="1" applyFont="1" applyFill="1" applyAlignment="1">
      <alignment horizontal="center"/>
    </xf>
    <xf numFmtId="37" fontId="30" fillId="0" borderId="0" xfId="13" applyNumberFormat="1" applyFont="1" applyFill="1" applyAlignment="1">
      <alignment horizontal="right"/>
    </xf>
    <xf numFmtId="37" fontId="13" fillId="0" borderId="0" xfId="14" applyNumberFormat="1" applyFont="1" applyFill="1" applyAlignment="1">
      <alignment horizontal="centerContinuous"/>
    </xf>
    <xf numFmtId="0" fontId="15" fillId="0" borderId="0" xfId="0" applyFont="1" applyAlignment="1">
      <alignment horizontal="right" wrapText="1"/>
    </xf>
    <xf numFmtId="37" fontId="13" fillId="0" borderId="0" xfId="15" applyNumberFormat="1" applyFont="1" applyFill="1" applyAlignment="1">
      <alignment horizontal="right"/>
    </xf>
    <xf numFmtId="0" fontId="76" fillId="0" borderId="0" xfId="0" applyFont="1" applyAlignment="1">
      <alignment vertical="top"/>
    </xf>
    <xf numFmtId="0" fontId="7" fillId="0" borderId="0" xfId="0" applyFont="1" applyAlignment="1">
      <alignment vertical="top"/>
    </xf>
    <xf numFmtId="0" fontId="10" fillId="0" borderId="0" xfId="0" applyFont="1" applyAlignment="1">
      <alignment vertical="top"/>
    </xf>
    <xf numFmtId="0" fontId="51" fillId="0" borderId="0" xfId="0" applyFont="1" applyAlignment="1">
      <alignment vertical="top"/>
    </xf>
    <xf numFmtId="49" fontId="10" fillId="0" borderId="10" xfId="0" applyNumberFormat="1" applyFont="1" applyBorder="1" applyAlignment="1">
      <alignment wrapText="1"/>
    </xf>
    <xf numFmtId="0" fontId="7" fillId="0" borderId="49" xfId="0" applyFont="1" applyBorder="1"/>
    <xf numFmtId="0" fontId="8" fillId="0" borderId="19" xfId="0" applyFont="1" applyBorder="1"/>
    <xf numFmtId="0" fontId="8" fillId="12" borderId="7" xfId="0" applyFont="1" applyFill="1" applyBorder="1" applyAlignment="1">
      <alignment vertical="top"/>
    </xf>
    <xf numFmtId="0" fontId="59" fillId="0" borderId="0" xfId="0" applyFont="1" applyAlignment="1">
      <alignment horizontal="left"/>
    </xf>
    <xf numFmtId="4" fontId="8" fillId="0" borderId="17" xfId="0" applyNumberFormat="1" applyFont="1" applyBorder="1"/>
    <xf numFmtId="4" fontId="8" fillId="0" borderId="34" xfId="0" applyNumberFormat="1" applyFont="1" applyBorder="1" applyProtection="1">
      <protection locked="0"/>
    </xf>
    <xf numFmtId="3" fontId="8" fillId="0" borderId="17" xfId="0" applyNumberFormat="1" applyFont="1" applyBorder="1"/>
    <xf numFmtId="165" fontId="8" fillId="0" borderId="17" xfId="0" applyNumberFormat="1" applyFont="1" applyBorder="1"/>
    <xf numFmtId="4" fontId="8" fillId="0" borderId="5" xfId="0" applyNumberFormat="1" applyFont="1" applyBorder="1" applyAlignment="1">
      <alignment horizontal="right"/>
    </xf>
    <xf numFmtId="4" fontId="8" fillId="0" borderId="5" xfId="0" applyNumberFormat="1" applyFont="1" applyBorder="1" applyAlignment="1" applyProtection="1">
      <alignment horizontal="right"/>
      <protection locked="0"/>
    </xf>
    <xf numFmtId="3" fontId="8" fillId="0" borderId="31" xfId="0" applyNumberFormat="1" applyFont="1" applyBorder="1"/>
    <xf numFmtId="165" fontId="8" fillId="0" borderId="5" xfId="0" applyNumberFormat="1" applyFont="1" applyBorder="1"/>
    <xf numFmtId="3" fontId="8" fillId="0" borderId="3" xfId="0" applyNumberFormat="1" applyFont="1" applyBorder="1"/>
    <xf numFmtId="165" fontId="8" fillId="0" borderId="3" xfId="0" applyNumberFormat="1" applyFont="1" applyBorder="1"/>
    <xf numFmtId="4" fontId="8" fillId="0" borderId="15" xfId="0" applyNumberFormat="1" applyFont="1" applyBorder="1" applyAlignment="1">
      <alignment horizontal="right"/>
    </xf>
    <xf numFmtId="3" fontId="8" fillId="0" borderId="15" xfId="0" applyNumberFormat="1" applyFont="1" applyBorder="1" applyAlignment="1">
      <alignment horizontal="right"/>
    </xf>
    <xf numFmtId="165" fontId="8" fillId="0" borderId="15" xfId="0" applyNumberFormat="1" applyFont="1" applyBorder="1"/>
    <xf numFmtId="4" fontId="8" fillId="0" borderId="15" xfId="0" applyNumberFormat="1" applyFont="1" applyBorder="1" applyProtection="1">
      <protection locked="0"/>
    </xf>
    <xf numFmtId="4" fontId="8" fillId="0" borderId="31" xfId="0" applyNumberFormat="1" applyFont="1" applyBorder="1" applyAlignment="1">
      <alignment horizontal="right"/>
    </xf>
    <xf numFmtId="4" fontId="8" fillId="0" borderId="31" xfId="0" applyNumberFormat="1" applyFont="1" applyBorder="1" applyAlignment="1" applyProtection="1">
      <alignment horizontal="right"/>
      <protection locked="0"/>
    </xf>
    <xf numFmtId="165" fontId="8" fillId="0" borderId="31" xfId="0" applyNumberFormat="1" applyFont="1" applyBorder="1"/>
    <xf numFmtId="37" fontId="8" fillId="0" borderId="17" xfId="0" applyNumberFormat="1" applyFont="1" applyBorder="1"/>
    <xf numFmtId="165" fontId="8" fillId="0" borderId="17" xfId="0" applyNumberFormat="1" applyFont="1" applyBorder="1" applyAlignment="1">
      <alignment horizontal="right"/>
    </xf>
    <xf numFmtId="37" fontId="8" fillId="0" borderId="0" xfId="13" applyNumberFormat="1" applyFont="1" applyFill="1" applyAlignment="1">
      <alignment horizontal="left"/>
    </xf>
    <xf numFmtId="37" fontId="8" fillId="0" borderId="0" xfId="13" applyNumberFormat="1" applyFont="1" applyFill="1" applyAlignment="1">
      <alignment horizontal="left" vertical="top"/>
    </xf>
    <xf numFmtId="37" fontId="12" fillId="0" borderId="4" xfId="13" quotePrefix="1" applyNumberFormat="1" applyFont="1" applyFill="1" applyBorder="1"/>
    <xf numFmtId="37" fontId="12" fillId="0" borderId="44" xfId="13" applyNumberFormat="1" applyFont="1" applyFill="1" applyBorder="1"/>
    <xf numFmtId="37" fontId="8" fillId="0" borderId="44" xfId="0" applyNumberFormat="1" applyFont="1" applyBorder="1"/>
    <xf numFmtId="0" fontId="69" fillId="0" borderId="0" xfId="13" applyFont="1" applyFill="1" applyAlignment="1">
      <alignment wrapText="1"/>
    </xf>
    <xf numFmtId="49" fontId="4" fillId="0" borderId="0" xfId="13" quotePrefix="1" applyNumberFormat="1" applyFont="1" applyFill="1" applyAlignment="1">
      <alignment horizontal="left"/>
    </xf>
    <xf numFmtId="0" fontId="4" fillId="0" borderId="0" xfId="13" quotePrefix="1" applyFont="1" applyFill="1" applyAlignment="1">
      <alignment horizontal="left"/>
    </xf>
    <xf numFmtId="0" fontId="36" fillId="0" borderId="0" xfId="0" quotePrefix="1" applyFont="1"/>
    <xf numFmtId="4" fontId="8" fillId="0" borderId="5" xfId="0" applyNumberFormat="1" applyFont="1" applyBorder="1"/>
    <xf numFmtId="3" fontId="8" fillId="0" borderId="5" xfId="0" applyNumberFormat="1" applyFont="1" applyBorder="1" applyAlignment="1">
      <alignment horizontal="right"/>
    </xf>
    <xf numFmtId="37" fontId="6" fillId="0" borderId="28" xfId="14" applyNumberFormat="1" applyFont="1" applyFill="1" applyBorder="1" applyAlignment="1">
      <alignment horizontal="left"/>
    </xf>
    <xf numFmtId="0" fontId="15" fillId="0" borderId="49" xfId="14" applyFont="1" applyFill="1" applyBorder="1" applyAlignment="1">
      <alignment horizontal="center" vertical="top"/>
    </xf>
    <xf numFmtId="0" fontId="15" fillId="0" borderId="0" xfId="14" applyFont="1" applyFill="1" applyAlignment="1">
      <alignment horizontal="center" vertical="top"/>
    </xf>
    <xf numFmtId="37" fontId="13" fillId="0" borderId="20" xfId="14" applyNumberFormat="1" applyFont="1" applyFill="1" applyBorder="1" applyAlignment="1">
      <alignment horizontal="center" vertical="center"/>
    </xf>
    <xf numFmtId="37" fontId="13" fillId="0" borderId="35" xfId="14" applyNumberFormat="1" applyFont="1" applyFill="1" applyBorder="1" applyAlignment="1">
      <alignment horizontal="center" vertical="center"/>
    </xf>
    <xf numFmtId="182" fontId="20" fillId="0" borderId="17" xfId="14" applyNumberFormat="1" applyFill="1" applyBorder="1"/>
    <xf numFmtId="171" fontId="14" fillId="0" borderId="17" xfId="14" applyNumberFormat="1" applyFont="1" applyFill="1" applyBorder="1"/>
    <xf numFmtId="37" fontId="14" fillId="0" borderId="17" xfId="14" applyNumberFormat="1" applyFont="1" applyFill="1" applyBorder="1"/>
    <xf numFmtId="165" fontId="14" fillId="0" borderId="17" xfId="14" applyNumberFormat="1" applyFont="1" applyFill="1" applyBorder="1"/>
    <xf numFmtId="0" fontId="20" fillId="0" borderId="23" xfId="14" applyFill="1" applyBorder="1"/>
    <xf numFmtId="37" fontId="14" fillId="0" borderId="31" xfId="14" applyNumberFormat="1" applyFont="1" applyFill="1" applyBorder="1"/>
    <xf numFmtId="165" fontId="14" fillId="0" borderId="15" xfId="14" applyNumberFormat="1" applyFont="1" applyFill="1" applyBorder="1" applyAlignment="1">
      <alignment horizontal="right"/>
    </xf>
    <xf numFmtId="37" fontId="6" fillId="0" borderId="15" xfId="14" applyNumberFormat="1" applyFont="1" applyFill="1" applyBorder="1"/>
    <xf numFmtId="37" fontId="6" fillId="0" borderId="17" xfId="14" applyNumberFormat="1" applyFont="1" applyFill="1" applyBorder="1"/>
    <xf numFmtId="38" fontId="4" fillId="0" borderId="84" xfId="0" applyNumberFormat="1" applyFont="1" applyBorder="1"/>
    <xf numFmtId="0" fontId="7" fillId="8" borderId="73" xfId="0" applyFont="1" applyFill="1" applyBorder="1"/>
    <xf numFmtId="0" fontId="8" fillId="12" borderId="22" xfId="0" applyFont="1" applyFill="1" applyBorder="1"/>
    <xf numFmtId="0" fontId="8" fillId="12" borderId="7" xfId="0" applyFont="1" applyFill="1" applyBorder="1"/>
    <xf numFmtId="0" fontId="8" fillId="12" borderId="22" xfId="0" applyFont="1" applyFill="1" applyBorder="1" applyAlignment="1">
      <alignment vertical="top"/>
    </xf>
    <xf numFmtId="0" fontId="62" fillId="0" borderId="0" xfId="8" applyFont="1" applyFill="1" applyProtection="1"/>
    <xf numFmtId="0" fontId="36" fillId="0" borderId="0" xfId="8" applyFont="1" applyFill="1" applyProtection="1"/>
    <xf numFmtId="0" fontId="6" fillId="0" borderId="61" xfId="0" applyFont="1" applyBorder="1" applyAlignment="1">
      <alignment horizontal="left"/>
    </xf>
    <xf numFmtId="0" fontId="15" fillId="0" borderId="61" xfId="0" applyFont="1" applyBorder="1" applyAlignment="1">
      <alignment horizontal="left"/>
    </xf>
    <xf numFmtId="0" fontId="6" fillId="0" borderId="62" xfId="0" applyFont="1" applyBorder="1" applyAlignment="1">
      <alignment horizontal="left"/>
    </xf>
    <xf numFmtId="0" fontId="15" fillId="13" borderId="85" xfId="0" applyFont="1" applyFill="1" applyBorder="1" applyAlignment="1">
      <alignment horizontal="left"/>
    </xf>
    <xf numFmtId="0" fontId="39" fillId="0" borderId="56" xfId="0" applyFont="1" applyBorder="1" applyAlignment="1">
      <alignment horizontal="justify" vertical="top" wrapText="1"/>
    </xf>
    <xf numFmtId="0" fontId="39" fillId="0" borderId="9" xfId="0" quotePrefix="1" applyFont="1" applyBorder="1" applyAlignment="1">
      <alignment horizontal="justify" vertical="top" wrapText="1"/>
    </xf>
    <xf numFmtId="0" fontId="69" fillId="0" borderId="0" xfId="0" applyFont="1" applyAlignment="1">
      <alignment wrapText="1"/>
    </xf>
    <xf numFmtId="0" fontId="6" fillId="0" borderId="0" xfId="0" applyFont="1" applyAlignment="1">
      <alignment horizontal="left"/>
    </xf>
    <xf numFmtId="37" fontId="8" fillId="0" borderId="44" xfId="4" applyNumberFormat="1" applyFont="1" applyFill="1" applyBorder="1" applyAlignment="1" applyProtection="1"/>
    <xf numFmtId="0" fontId="39" fillId="0" borderId="19" xfId="0" applyFont="1" applyBorder="1" applyAlignment="1">
      <alignment horizontal="left" vertical="top" wrapText="1"/>
    </xf>
    <xf numFmtId="0" fontId="39" fillId="0" borderId="9" xfId="18" applyFont="1" applyFill="1" applyBorder="1" applyAlignment="1">
      <alignment horizontal="left" vertical="top" wrapText="1"/>
    </xf>
    <xf numFmtId="0" fontId="4" fillId="0" borderId="0" xfId="0" applyFont="1" applyAlignment="1">
      <alignment horizontal="justify" wrapText="1"/>
    </xf>
    <xf numFmtId="0" fontId="0" fillId="0" borderId="0" xfId="0" applyAlignment="1">
      <alignment horizontal="justify"/>
    </xf>
    <xf numFmtId="187" fontId="6" fillId="0" borderId="0" xfId="0" applyNumberFormat="1" applyFont="1" applyBorder="1" applyAlignment="1">
      <alignment horizontal="right"/>
    </xf>
    <xf numFmtId="0" fontId="63" fillId="0" borderId="0" xfId="22" applyFont="1"/>
    <xf numFmtId="37" fontId="88" fillId="0" borderId="0" xfId="22" applyNumberFormat="1" applyFont="1" applyAlignment="1">
      <alignment horizontal="right"/>
    </xf>
    <xf numFmtId="37" fontId="63" fillId="0" borderId="0" xfId="22" applyNumberFormat="1" applyFont="1" applyAlignment="1">
      <alignment horizontal="left"/>
    </xf>
    <xf numFmtId="0" fontId="82" fillId="0" borderId="0" xfId="22" applyFont="1"/>
    <xf numFmtId="37" fontId="63" fillId="0" borderId="0" xfId="22" applyNumberFormat="1" applyFont="1" applyAlignment="1">
      <alignment horizontal="left" vertical="center"/>
    </xf>
    <xf numFmtId="37" fontId="63" fillId="0" borderId="0" xfId="22" applyNumberFormat="1" applyFont="1"/>
    <xf numFmtId="0" fontId="4" fillId="0" borderId="0" xfId="4" applyNumberFormat="1" applyFont="1" applyFill="1" applyBorder="1" applyAlignment="1" applyProtection="1">
      <alignment horizontal="left" vertical="top"/>
    </xf>
    <xf numFmtId="177" fontId="4" fillId="0" borderId="0" xfId="12" applyFont="1" applyFill="1"/>
    <xf numFmtId="177" fontId="4" fillId="0" borderId="0" xfId="12" applyFont="1" applyFill="1" applyAlignment="1">
      <alignment horizontal="left" vertical="top"/>
    </xf>
    <xf numFmtId="177" fontId="88" fillId="0" borderId="9" xfId="12" applyFont="1" applyFill="1" applyBorder="1" applyAlignment="1">
      <alignment wrapText="1"/>
    </xf>
    <xf numFmtId="177" fontId="88" fillId="0" borderId="9" xfId="12" applyFont="1" applyFill="1" applyBorder="1" applyAlignment="1">
      <alignment horizontal="center" wrapText="1"/>
    </xf>
    <xf numFmtId="177" fontId="103" fillId="0" borderId="0" xfId="12" applyFont="1" applyFill="1" applyAlignment="1">
      <alignment horizontal="center"/>
    </xf>
    <xf numFmtId="177" fontId="9" fillId="0" borderId="0" xfId="12" quotePrefix="1" applyFont="1" applyFill="1" applyAlignment="1">
      <alignment horizontal="center"/>
    </xf>
    <xf numFmtId="177" fontId="88" fillId="0" borderId="20" xfId="12" applyFont="1" applyFill="1" applyBorder="1" applyAlignment="1">
      <alignment wrapText="1"/>
    </xf>
    <xf numFmtId="177" fontId="88" fillId="0" borderId="0" xfId="12" applyFont="1" applyFill="1" applyAlignment="1">
      <alignment wrapText="1"/>
    </xf>
    <xf numFmtId="177" fontId="101" fillId="0" borderId="0" xfId="12" applyFont="1" applyFill="1" applyAlignment="1">
      <alignment horizontal="center" wrapText="1"/>
    </xf>
    <xf numFmtId="177" fontId="4" fillId="0" borderId="0" xfId="9" quotePrefix="1" applyNumberFormat="1" applyFont="1" applyFill="1" applyAlignment="1" applyProtection="1">
      <alignment horizontal="left"/>
    </xf>
    <xf numFmtId="177" fontId="4" fillId="0" borderId="0" xfId="12" applyFont="1" applyFill="1" applyAlignment="1">
      <alignment horizontal="left"/>
    </xf>
    <xf numFmtId="37" fontId="4" fillId="0" borderId="9" xfId="12" applyNumberFormat="1" applyFont="1" applyFill="1" applyBorder="1" applyProtection="1">
      <protection locked="0"/>
    </xf>
    <xf numFmtId="37" fontId="4" fillId="0" borderId="9" xfId="12" applyNumberFormat="1" applyFont="1" applyFill="1" applyBorder="1"/>
    <xf numFmtId="177" fontId="4" fillId="0" borderId="0" xfId="9" quotePrefix="1" applyNumberFormat="1" applyFont="1" applyFill="1" applyAlignment="1" applyProtection="1">
      <alignment horizontal="right"/>
    </xf>
    <xf numFmtId="177" fontId="88" fillId="0" borderId="0" xfId="12" applyFont="1" applyFill="1" applyAlignment="1">
      <alignment horizontal="center" vertical="top" wrapText="1"/>
    </xf>
    <xf numFmtId="177" fontId="104" fillId="0" borderId="0" xfId="9" quotePrefix="1" applyNumberFormat="1" applyFont="1" applyFill="1" applyAlignment="1" applyProtection="1">
      <alignment horizontal="right"/>
    </xf>
    <xf numFmtId="177" fontId="4" fillId="0" borderId="0" xfId="12" quotePrefix="1" applyFont="1" applyFill="1"/>
    <xf numFmtId="177" fontId="9" fillId="0" borderId="0" xfId="12" applyFont="1" applyFill="1"/>
    <xf numFmtId="37" fontId="4" fillId="0" borderId="0" xfId="22" applyNumberFormat="1" applyFont="1" applyAlignment="1">
      <alignment horizontal="right"/>
    </xf>
    <xf numFmtId="37" fontId="63" fillId="0" borderId="0" xfId="22" applyNumberFormat="1" applyFont="1" applyAlignment="1">
      <alignment horizontal="right"/>
    </xf>
    <xf numFmtId="37" fontId="4" fillId="0" borderId="7" xfId="12" applyNumberFormat="1" applyFont="1" applyFill="1" applyBorder="1"/>
    <xf numFmtId="37" fontId="4" fillId="0" borderId="9" xfId="22" applyNumberFormat="1" applyFont="1" applyBorder="1" applyAlignment="1">
      <alignment horizontal="right"/>
    </xf>
    <xf numFmtId="177" fontId="9" fillId="0" borderId="0" xfId="12" applyFont="1" applyFill="1" applyAlignment="1">
      <alignment horizontal="left"/>
    </xf>
    <xf numFmtId="37" fontId="4" fillId="13" borderId="9" xfId="22" applyNumberFormat="1" applyFont="1" applyFill="1" applyBorder="1" applyAlignment="1">
      <alignment horizontal="right"/>
    </xf>
    <xf numFmtId="177" fontId="4" fillId="13" borderId="9" xfId="12" applyFont="1" applyFill="1" applyBorder="1"/>
    <xf numFmtId="177" fontId="88" fillId="0" borderId="0" xfId="12" quotePrefix="1" applyFont="1" applyFill="1" applyAlignment="1">
      <alignment horizontal="left"/>
    </xf>
    <xf numFmtId="0" fontId="83" fillId="0" borderId="0" xfId="0" applyFont="1" applyAlignment="1">
      <alignment horizontal="left" vertical="top"/>
    </xf>
    <xf numFmtId="0" fontId="83" fillId="0" borderId="0" xfId="0" applyFont="1" applyAlignment="1">
      <alignment horizontal="right"/>
    </xf>
    <xf numFmtId="164" fontId="62" fillId="0" borderId="0" xfId="0" applyNumberFormat="1" applyFont="1"/>
    <xf numFmtId="49" fontId="62" fillId="5" borderId="0" xfId="0" applyNumberFormat="1" applyFont="1" applyFill="1" applyAlignment="1">
      <alignment horizontal="left"/>
    </xf>
    <xf numFmtId="0" fontId="62" fillId="5" borderId="0" xfId="0" applyFont="1" applyFill="1"/>
    <xf numFmtId="49" fontId="62" fillId="5" borderId="0" xfId="0" applyNumberFormat="1" applyFont="1" applyFill="1"/>
    <xf numFmtId="0" fontId="90" fillId="0" borderId="0" xfId="0" applyFont="1"/>
    <xf numFmtId="0" fontId="62" fillId="0" borderId="0" xfId="0" quotePrefix="1" applyFont="1" applyAlignment="1">
      <alignment horizontal="right"/>
    </xf>
    <xf numFmtId="0" fontId="62" fillId="0" borderId="0" xfId="8" quotePrefix="1" applyFont="1" applyFill="1" applyAlignment="1" applyProtection="1">
      <alignment horizontal="right"/>
    </xf>
    <xf numFmtId="0" fontId="74" fillId="4" borderId="0" xfId="8" quotePrefix="1" applyFont="1" applyFill="1" applyAlignment="1" applyProtection="1">
      <alignment horizontal="right"/>
    </xf>
    <xf numFmtId="0" fontId="99" fillId="0" borderId="9" xfId="0" applyFont="1" applyBorder="1" applyAlignment="1">
      <alignment horizontal="left" vertical="top" wrapText="1"/>
    </xf>
    <xf numFmtId="0" fontId="62" fillId="0" borderId="0" xfId="0" quotePrefix="1" applyFont="1" applyAlignment="1">
      <alignment vertical="top"/>
    </xf>
    <xf numFmtId="49" fontId="62" fillId="0" borderId="0" xfId="0" quotePrefix="1" applyNumberFormat="1" applyFont="1" applyBorder="1" applyAlignment="1">
      <alignment horizontal="left"/>
    </xf>
    <xf numFmtId="0" fontId="105" fillId="0" borderId="9" xfId="0" applyFont="1" applyBorder="1" applyAlignment="1">
      <alignment horizontal="center" vertical="top" wrapText="1"/>
    </xf>
    <xf numFmtId="0" fontId="62" fillId="0" borderId="0" xfId="0" quotePrefix="1" applyFont="1" applyAlignment="1">
      <alignment horizontal="left" vertical="top"/>
    </xf>
    <xf numFmtId="0" fontId="99" fillId="0" borderId="9" xfId="0" applyFont="1" applyBorder="1" applyAlignment="1">
      <alignment vertical="top" wrapText="1"/>
    </xf>
    <xf numFmtId="0" fontId="8" fillId="8" borderId="74" xfId="0" applyFont="1" applyFill="1" applyBorder="1"/>
    <xf numFmtId="0" fontId="4" fillId="0" borderId="4" xfId="0" applyFont="1" applyBorder="1" applyAlignment="1">
      <alignment horizontal="center"/>
    </xf>
    <xf numFmtId="0" fontId="0" fillId="0" borderId="2" xfId="0" applyBorder="1"/>
    <xf numFmtId="49" fontId="4" fillId="0" borderId="4" xfId="0" applyNumberFormat="1" applyFont="1" applyBorder="1" applyAlignment="1">
      <alignment horizontal="left"/>
    </xf>
    <xf numFmtId="0" fontId="9" fillId="0" borderId="0" xfId="0" applyFont="1" applyAlignment="1">
      <alignment horizontal="right"/>
    </xf>
    <xf numFmtId="0" fontId="8" fillId="0" borderId="0" xfId="0" applyFont="1" applyAlignment="1">
      <alignment horizontal="right"/>
    </xf>
    <xf numFmtId="0" fontId="6" fillId="0" borderId="0" xfId="0" applyFont="1" applyBorder="1" applyAlignment="1">
      <alignment wrapText="1"/>
    </xf>
    <xf numFmtId="37" fontId="8" fillId="0" borderId="0" xfId="0" applyNumberFormat="1" applyFont="1"/>
    <xf numFmtId="0" fontId="8" fillId="0" borderId="15" xfId="0" applyFont="1" applyBorder="1" applyAlignment="1">
      <alignment horizontal="center"/>
    </xf>
    <xf numFmtId="0" fontId="0" fillId="0" borderId="31" xfId="0" applyBorder="1"/>
    <xf numFmtId="0" fontId="8" fillId="0" borderId="0" xfId="0" applyFont="1" applyAlignment="1">
      <alignment horizontal="left" vertical="top" wrapText="1"/>
    </xf>
    <xf numFmtId="0" fontId="8" fillId="0" borderId="0" xfId="0" applyFont="1" applyAlignment="1">
      <alignment horizontal="center" wrapText="1"/>
    </xf>
    <xf numFmtId="0" fontId="0" fillId="0" borderId="0" xfId="0" applyAlignment="1">
      <alignment horizontal="left" vertical="center"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37" fontId="10" fillId="0" borderId="0" xfId="0" applyNumberFormat="1" applyFont="1" applyBorder="1" applyAlignment="1">
      <alignment horizontal="center"/>
    </xf>
    <xf numFmtId="49" fontId="4" fillId="0" borderId="45" xfId="0" applyNumberFormat="1" applyFont="1" applyBorder="1" applyAlignment="1">
      <alignment horizont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0" xfId="13" applyFont="1" applyFill="1" applyAlignment="1">
      <alignment horizontal="left" vertical="top" wrapText="1"/>
    </xf>
    <xf numFmtId="37" fontId="12" fillId="2" borderId="0" xfId="13" applyNumberFormat="1" applyFont="1"/>
    <xf numFmtId="0" fontId="62" fillId="0" borderId="0" xfId="13" applyFont="1" applyFill="1" applyAlignment="1">
      <alignment horizontal="left" vertical="top" wrapText="1"/>
    </xf>
    <xf numFmtId="0" fontId="4" fillId="0" borderId="0" xfId="0" applyFont="1" applyAlignment="1">
      <alignment horizontal="left"/>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13" applyFont="1" applyFill="1" applyAlignment="1">
      <alignment horizontal="left"/>
    </xf>
    <xf numFmtId="0" fontId="4" fillId="0" borderId="0" xfId="0" applyFont="1" applyAlignment="1">
      <alignment vertical="top" wrapText="1"/>
    </xf>
    <xf numFmtId="0" fontId="0" fillId="0" borderId="0" xfId="0" applyAlignment="1">
      <alignment wrapText="1"/>
    </xf>
    <xf numFmtId="0" fontId="8" fillId="0" borderId="0" xfId="13" applyFont="1" applyFill="1" applyAlignment="1">
      <alignment wrapText="1"/>
    </xf>
    <xf numFmtId="0" fontId="8" fillId="0" borderId="0" xfId="0" applyFont="1" applyAlignment="1">
      <alignment wrapText="1"/>
    </xf>
    <xf numFmtId="0" fontId="9" fillId="0" borderId="25" xfId="0" applyFont="1" applyBorder="1"/>
    <xf numFmtId="0" fontId="9" fillId="0" borderId="0" xfId="0" applyFont="1"/>
    <xf numFmtId="0" fontId="15" fillId="0" borderId="0" xfId="0" applyFont="1"/>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4" borderId="0" xfId="8" applyFont="1" applyFill="1" applyProtection="1"/>
    <xf numFmtId="0" fontId="8" fillId="0" borderId="0" xfId="21" applyFont="1" applyFill="1" applyAlignment="1">
      <alignment horizontal="left" vertical="top"/>
    </xf>
    <xf numFmtId="0" fontId="10" fillId="0" borderId="0" xfId="0" applyFont="1" applyAlignment="1">
      <alignment horizontal="right"/>
    </xf>
    <xf numFmtId="0" fontId="8" fillId="0" borderId="0" xfId="0" applyFont="1" applyAlignment="1">
      <alignment horizontal="right" wrapText="1"/>
    </xf>
    <xf numFmtId="0" fontId="8" fillId="12" borderId="7" xfId="0" applyFont="1" applyFill="1" applyBorder="1" applyAlignment="1">
      <alignment horizontal="left" wrapText="1"/>
    </xf>
    <xf numFmtId="0" fontId="10" fillId="0" borderId="0" xfId="0" applyFont="1" applyAlignment="1">
      <alignment horizontal="lef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28"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74" fontId="8" fillId="0" borderId="51" xfId="0" applyNumberFormat="1" applyFont="1" applyBorder="1" applyAlignment="1">
      <alignment horizontal="right"/>
    </xf>
    <xf numFmtId="0" fontId="15" fillId="0" borderId="0" xfId="0" applyFont="1" applyBorder="1" applyAlignment="1">
      <alignment horizontal="center" wrapText="1"/>
    </xf>
    <xf numFmtId="49" fontId="8" fillId="0" borderId="0" xfId="0" applyNumberFormat="1" applyFont="1" applyBorder="1" applyAlignment="1">
      <alignment horizontal="left"/>
    </xf>
    <xf numFmtId="0" fontId="39" fillId="0" borderId="23" xfId="0" applyFont="1" applyBorder="1" applyAlignment="1">
      <alignment vertical="top" wrapText="1"/>
    </xf>
    <xf numFmtId="0" fontId="39" fillId="0" borderId="17" xfId="0" applyFont="1" applyBorder="1" applyAlignment="1">
      <alignment vertical="top" wrapText="1"/>
    </xf>
    <xf numFmtId="0" fontId="39" fillId="0" borderId="23" xfId="0" applyFont="1" applyBorder="1" applyAlignment="1">
      <alignment horizontal="center" vertical="top" wrapText="1"/>
    </xf>
    <xf numFmtId="0" fontId="39" fillId="0" borderId="17" xfId="0" applyFont="1" applyBorder="1" applyAlignment="1">
      <alignment horizontal="center" vertical="top" wrapText="1"/>
    </xf>
    <xf numFmtId="0" fontId="39" fillId="0" borderId="23" xfId="0" applyFont="1" applyBorder="1" applyAlignment="1">
      <alignment horizontal="center" vertical="center" wrapText="1"/>
    </xf>
    <xf numFmtId="0" fontId="39" fillId="0" borderId="17" xfId="0" applyFont="1" applyBorder="1" applyAlignment="1">
      <alignment horizontal="center" vertical="center" wrapText="1"/>
    </xf>
    <xf numFmtId="37" fontId="8" fillId="6" borderId="15" xfId="0" applyNumberFormat="1" applyFont="1" applyFill="1" applyBorder="1" applyAlignment="1">
      <alignment horizontal="right"/>
    </xf>
    <xf numFmtId="37" fontId="8" fillId="0" borderId="15" xfId="0" applyNumberFormat="1" applyFont="1" applyBorder="1" applyAlignment="1" applyProtection="1">
      <alignment horizontal="right"/>
      <protection locked="0"/>
    </xf>
    <xf numFmtId="37" fontId="8" fillId="2" borderId="15" xfId="0" applyNumberFormat="1" applyFont="1" applyFill="1" applyBorder="1" applyAlignment="1">
      <alignment horizontal="right"/>
    </xf>
    <xf numFmtId="165" fontId="8" fillId="2" borderId="55" xfId="0" applyNumberFormat="1" applyFont="1" applyFill="1" applyBorder="1" applyAlignment="1">
      <alignment horizontal="right"/>
    </xf>
    <xf numFmtId="0" fontId="99" fillId="10" borderId="9" xfId="0" applyFont="1" applyFill="1" applyBorder="1" applyAlignment="1">
      <alignment horizontal="center" vertical="center" wrapText="1"/>
    </xf>
    <xf numFmtId="4" fontId="12" fillId="0" borderId="86" xfId="0" applyNumberFormat="1" applyFont="1" applyBorder="1" applyAlignment="1">
      <alignment horizontal="right"/>
    </xf>
    <xf numFmtId="37" fontId="12" fillId="0" borderId="84" xfId="0" applyNumberFormat="1" applyFont="1" applyBorder="1" applyAlignment="1">
      <alignment horizontal="right"/>
    </xf>
    <xf numFmtId="0" fontId="41" fillId="0" borderId="9" xfId="0" applyFont="1" applyBorder="1" applyAlignment="1">
      <alignment horizontal="center" vertical="center" wrapText="1"/>
    </xf>
    <xf numFmtId="37" fontId="6" fillId="0" borderId="87" xfId="11" quotePrefix="1" applyNumberFormat="1" applyFont="1" applyBorder="1" applyAlignment="1">
      <alignment horizontal="right"/>
    </xf>
    <xf numFmtId="37" fontId="6" fillId="0" borderId="0" xfId="11" quotePrefix="1" applyNumberFormat="1" applyFont="1" applyBorder="1" applyAlignment="1">
      <alignment horizontal="right"/>
    </xf>
    <xf numFmtId="37" fontId="6" fillId="0" borderId="34" xfId="11" applyNumberFormat="1" applyFont="1" applyBorder="1" applyAlignment="1" applyProtection="1">
      <alignment horizontal="right"/>
      <protection locked="0"/>
    </xf>
    <xf numFmtId="37" fontId="6" fillId="0" borderId="33" xfId="11" applyNumberFormat="1" applyFont="1" applyBorder="1" applyAlignment="1" applyProtection="1">
      <alignment horizontal="right"/>
      <protection locked="0"/>
    </xf>
    <xf numFmtId="37" fontId="6" fillId="0" borderId="33" xfId="0" applyNumberFormat="1" applyFont="1" applyBorder="1" applyAlignment="1">
      <alignment horizontal="right"/>
    </xf>
    <xf numFmtId="37" fontId="6" fillId="0" borderId="32" xfId="11" applyNumberFormat="1" applyFont="1" applyBorder="1" applyAlignment="1" applyProtection="1">
      <alignment horizontal="right"/>
      <protection locked="0"/>
    </xf>
    <xf numFmtId="37" fontId="6" fillId="0" borderId="9" xfId="11" applyNumberFormat="1" applyFont="1" applyBorder="1" applyAlignment="1">
      <alignment horizontal="right"/>
    </xf>
    <xf numFmtId="0" fontId="8" fillId="0" borderId="12" xfId="0" applyFont="1" applyBorder="1"/>
    <xf numFmtId="0" fontId="36" fillId="4" borderId="88" xfId="8" quotePrefix="1" applyFont="1" applyFill="1" applyBorder="1" applyAlignment="1" applyProtection="1">
      <alignment horizontal="right" vertical="center"/>
    </xf>
    <xf numFmtId="3" fontId="8" fillId="14" borderId="3" xfId="0" applyNumberFormat="1" applyFont="1" applyFill="1" applyBorder="1"/>
    <xf numFmtId="4" fontId="8" fillId="14" borderId="34" xfId="0" applyNumberFormat="1" applyFont="1" applyFill="1" applyBorder="1" applyAlignment="1">
      <alignment horizontal="right"/>
    </xf>
    <xf numFmtId="4" fontId="8" fillId="15" borderId="5" xfId="0" applyNumberFormat="1" applyFont="1" applyFill="1" applyBorder="1" applyAlignment="1">
      <alignment horizontal="right"/>
    </xf>
    <xf numFmtId="37" fontId="6" fillId="0" borderId="17" xfId="11" applyNumberFormat="1" applyFont="1" applyBorder="1" applyAlignment="1">
      <alignment horizontal="right"/>
    </xf>
    <xf numFmtId="0" fontId="73" fillId="0" borderId="0" xfId="0" quotePrefix="1" applyFont="1" applyAlignment="1">
      <alignment horizontal="right" vertical="center"/>
    </xf>
    <xf numFmtId="49" fontId="62" fillId="0" borderId="0" xfId="0" quotePrefix="1" applyNumberFormat="1" applyFont="1"/>
    <xf numFmtId="0" fontId="8" fillId="0" borderId="60" xfId="0" applyFont="1" applyBorder="1"/>
    <xf numFmtId="0" fontId="107" fillId="0" borderId="0" xfId="0" applyFont="1" applyAlignment="1">
      <alignment vertical="center"/>
    </xf>
    <xf numFmtId="0" fontId="108" fillId="0" borderId="0" xfId="0" applyFont="1"/>
    <xf numFmtId="0" fontId="107" fillId="0" borderId="0" xfId="0" applyFont="1"/>
    <xf numFmtId="0" fontId="8" fillId="0" borderId="0" xfId="0" applyFont="1" applyBorder="1" applyAlignment="1">
      <alignment horizontal="center"/>
    </xf>
    <xf numFmtId="0" fontId="105" fillId="0" borderId="9" xfId="0" applyFont="1" applyBorder="1" applyAlignment="1">
      <alignment vertical="top" wrapText="1"/>
    </xf>
    <xf numFmtId="0" fontId="105" fillId="0" borderId="7" xfId="0" applyFont="1" applyBorder="1" applyAlignment="1">
      <alignment vertical="top" wrapText="1"/>
    </xf>
    <xf numFmtId="0" fontId="105" fillId="0" borderId="9" xfId="0" applyFont="1" applyBorder="1" applyAlignment="1">
      <alignment horizontal="left" vertical="top" wrapText="1"/>
    </xf>
    <xf numFmtId="0" fontId="39" fillId="10" borderId="9" xfId="0" applyFont="1" applyFill="1" applyBorder="1" applyAlignment="1">
      <alignment horizontal="center" vertical="center" wrapText="1"/>
    </xf>
    <xf numFmtId="4" fontId="12" fillId="0" borderId="30" xfId="0" applyNumberFormat="1" applyFont="1" applyBorder="1" applyAlignment="1">
      <alignment horizontal="center"/>
    </xf>
    <xf numFmtId="0" fontId="12" fillId="0" borderId="31" xfId="0" applyFont="1" applyBorder="1" applyAlignment="1">
      <alignment horizontal="center"/>
    </xf>
    <xf numFmtId="4" fontId="12" fillId="0" borderId="9" xfId="0" applyNumberFormat="1" applyFont="1" applyBorder="1" applyAlignment="1">
      <alignment horizontal="right"/>
    </xf>
    <xf numFmtId="37" fontId="12" fillId="0" borderId="9" xfId="0" applyNumberFormat="1" applyFont="1" applyBorder="1"/>
    <xf numFmtId="4" fontId="12" fillId="0" borderId="31" xfId="0" applyNumberFormat="1" applyFont="1" applyBorder="1"/>
    <xf numFmtId="37" fontId="8" fillId="0" borderId="31" xfId="0" applyNumberFormat="1" applyFont="1" applyBorder="1" applyProtection="1">
      <protection locked="0"/>
    </xf>
    <xf numFmtId="4" fontId="12" fillId="0" borderId="89" xfId="0" applyNumberFormat="1" applyFont="1" applyBorder="1" applyAlignment="1">
      <alignment horizontal="right"/>
    </xf>
    <xf numFmtId="37" fontId="12" fillId="0" borderId="90" xfId="0" applyNumberFormat="1" applyFont="1" applyBorder="1"/>
    <xf numFmtId="0" fontId="70" fillId="0" borderId="0" xfId="0" applyFont="1"/>
    <xf numFmtId="0" fontId="39" fillId="16" borderId="9" xfId="0" applyFont="1" applyFill="1" applyBorder="1" applyAlignment="1">
      <alignment horizontal="center" vertical="center" wrapText="1"/>
    </xf>
    <xf numFmtId="0" fontId="39" fillId="10" borderId="9" xfId="0" applyFont="1" applyFill="1" applyBorder="1" applyAlignment="1">
      <alignment horizontal="center" vertical="center"/>
    </xf>
    <xf numFmtId="0" fontId="39" fillId="17" borderId="9" xfId="0" applyFont="1" applyFill="1" applyBorder="1" applyAlignment="1">
      <alignment horizontal="center" vertical="center"/>
    </xf>
    <xf numFmtId="0" fontId="8" fillId="0" borderId="10" xfId="0" applyFont="1" applyBorder="1" applyAlignment="1">
      <alignment horizontal="right"/>
    </xf>
    <xf numFmtId="39" fontId="8" fillId="3" borderId="19" xfId="0" applyNumberFormat="1" applyFont="1" applyFill="1" applyBorder="1"/>
    <xf numFmtId="0" fontId="8" fillId="0" borderId="9" xfId="0" applyFont="1" applyBorder="1" applyAlignment="1" applyProtection="1">
      <alignment horizontal="left"/>
      <protection locked="0"/>
    </xf>
    <xf numFmtId="37" fontId="88" fillId="0" borderId="20" xfId="22" applyNumberFormat="1" applyFont="1" applyBorder="1" applyAlignment="1">
      <alignment horizontal="right"/>
    </xf>
    <xf numFmtId="0" fontId="10" fillId="0" borderId="28" xfId="0" applyFont="1" applyBorder="1"/>
    <xf numFmtId="0" fontId="10" fillId="0" borderId="49" xfId="0" applyFont="1" applyBorder="1"/>
    <xf numFmtId="49" fontId="8" fillId="0" borderId="56" xfId="0" applyNumberFormat="1" applyFont="1" applyBorder="1" applyAlignment="1">
      <alignment horizontal="center"/>
    </xf>
    <xf numFmtId="0" fontId="62" fillId="0" borderId="56" xfId="0" applyFont="1" applyBorder="1" applyAlignment="1">
      <alignment horizontal="center"/>
    </xf>
    <xf numFmtId="0" fontId="8" fillId="0" borderId="23" xfId="0" applyFont="1" applyBorder="1" applyAlignment="1">
      <alignment horizontal="center"/>
    </xf>
    <xf numFmtId="0" fontId="10" fillId="0" borderId="51" xfId="0" applyFont="1" applyBorder="1"/>
    <xf numFmtId="0" fontId="10" fillId="0" borderId="10" xfId="0" applyFont="1" applyBorder="1"/>
    <xf numFmtId="0" fontId="8" fillId="0" borderId="47" xfId="0" applyFont="1" applyBorder="1"/>
    <xf numFmtId="0" fontId="8" fillId="0" borderId="34" xfId="0" applyFont="1" applyBorder="1" applyAlignment="1">
      <alignment horizontal="center"/>
    </xf>
    <xf numFmtId="0" fontId="62" fillId="0" borderId="17" xfId="0" applyFont="1" applyBorder="1" applyAlignment="1">
      <alignment horizontal="center"/>
    </xf>
    <xf numFmtId="0" fontId="8" fillId="0" borderId="17" xfId="0" applyFont="1" applyBorder="1" applyAlignment="1">
      <alignment horizontal="center"/>
    </xf>
    <xf numFmtId="37" fontId="8" fillId="0" borderId="11" xfId="0" applyNumberFormat="1" applyFont="1" applyBorder="1" applyProtection="1">
      <protection locked="0"/>
    </xf>
    <xf numFmtId="37" fontId="8" fillId="0" borderId="2" xfId="0" applyNumberFormat="1" applyFont="1" applyBorder="1" applyAlignment="1" applyProtection="1">
      <alignment horizontal="right"/>
      <protection locked="0"/>
    </xf>
    <xf numFmtId="37" fontId="8" fillId="0" borderId="91" xfId="0" applyNumberFormat="1" applyFont="1" applyBorder="1" applyAlignment="1" applyProtection="1">
      <alignment horizontal="right"/>
      <protection locked="0"/>
    </xf>
    <xf numFmtId="37" fontId="8" fillId="0" borderId="9" xfId="0" applyNumberFormat="1" applyFont="1" applyBorder="1" applyAlignment="1" applyProtection="1">
      <alignment horizontal="right"/>
      <protection locked="0"/>
    </xf>
    <xf numFmtId="37" fontId="62" fillId="0" borderId="3" xfId="0" applyNumberFormat="1" applyFont="1" applyBorder="1" applyAlignment="1">
      <alignment horizontal="right"/>
    </xf>
    <xf numFmtId="37" fontId="62" fillId="0" borderId="48" xfId="0" applyNumberFormat="1" applyFont="1" applyBorder="1" applyAlignment="1">
      <alignment horizontal="right"/>
    </xf>
    <xf numFmtId="165" fontId="62" fillId="0" borderId="77" xfId="0" applyNumberFormat="1" applyFont="1" applyBorder="1" applyAlignment="1">
      <alignment horizontal="right"/>
    </xf>
    <xf numFmtId="37" fontId="8" fillId="0" borderId="48" xfId="0" applyNumberFormat="1" applyFont="1" applyBorder="1" applyAlignment="1" applyProtection="1">
      <alignment horizontal="right"/>
      <protection locked="0"/>
    </xf>
    <xf numFmtId="49" fontId="62" fillId="0" borderId="28" xfId="0" applyNumberFormat="1" applyFont="1" applyBorder="1" applyAlignment="1">
      <alignment horizontal="left"/>
    </xf>
    <xf numFmtId="37" fontId="8" fillId="0" borderId="92" xfId="0" applyNumberFormat="1" applyFont="1" applyBorder="1" applyAlignment="1" applyProtection="1">
      <alignment horizontal="right"/>
      <protection locked="0"/>
    </xf>
    <xf numFmtId="37" fontId="73" fillId="7" borderId="3" xfId="0" applyNumberFormat="1" applyFont="1" applyFill="1" applyBorder="1" applyAlignment="1">
      <alignment horizontal="right"/>
    </xf>
    <xf numFmtId="0" fontId="62" fillId="0" borderId="25" xfId="0" applyFont="1" applyBorder="1"/>
    <xf numFmtId="37" fontId="73" fillId="6" borderId="58" xfId="0" applyNumberFormat="1" applyFont="1" applyFill="1" applyBorder="1" applyAlignment="1">
      <alignment horizontal="right"/>
    </xf>
    <xf numFmtId="37" fontId="62" fillId="0" borderId="15" xfId="0" applyNumberFormat="1" applyFont="1" applyBorder="1" applyAlignment="1">
      <alignment horizontal="right"/>
    </xf>
    <xf numFmtId="165" fontId="62" fillId="5" borderId="77" xfId="0" applyNumberFormat="1" applyFont="1" applyFill="1" applyBorder="1" applyAlignment="1">
      <alignment horizontal="right"/>
    </xf>
    <xf numFmtId="37" fontId="73" fillId="6" borderId="48" xfId="0" applyNumberFormat="1" applyFont="1" applyFill="1" applyBorder="1" applyAlignment="1">
      <alignment horizontal="right"/>
    </xf>
    <xf numFmtId="37" fontId="73" fillId="6" borderId="93" xfId="0" applyNumberFormat="1" applyFont="1" applyFill="1" applyBorder="1" applyAlignment="1">
      <alignment horizontal="right"/>
    </xf>
    <xf numFmtId="37" fontId="73" fillId="6" borderId="23" xfId="0" applyNumberFormat="1" applyFont="1" applyFill="1" applyBorder="1" applyAlignment="1">
      <alignment horizontal="right"/>
    </xf>
    <xf numFmtId="37" fontId="62" fillId="0" borderId="32" xfId="0" applyNumberFormat="1" applyFont="1" applyBorder="1" applyAlignment="1" applyProtection="1">
      <alignment horizontal="right"/>
      <protection locked="0"/>
    </xf>
    <xf numFmtId="165" fontId="62" fillId="5" borderId="79" xfId="0" applyNumberFormat="1" applyFont="1" applyFill="1" applyBorder="1" applyAlignment="1">
      <alignment horizontal="right"/>
    </xf>
    <xf numFmtId="0" fontId="62" fillId="0" borderId="28" xfId="0" applyFont="1" applyBorder="1"/>
    <xf numFmtId="37" fontId="62" fillId="0" borderId="9" xfId="0" applyNumberFormat="1" applyFont="1" applyBorder="1" applyAlignment="1">
      <alignment horizontal="right"/>
    </xf>
    <xf numFmtId="165" fontId="62" fillId="0" borderId="9" xfId="0" applyNumberFormat="1" applyFont="1" applyBorder="1" applyAlignment="1">
      <alignment horizontal="right"/>
    </xf>
    <xf numFmtId="0" fontId="8" fillId="7" borderId="9" xfId="0" applyFont="1" applyFill="1" applyBorder="1"/>
    <xf numFmtId="49" fontId="112" fillId="4" borderId="52" xfId="8" applyNumberFormat="1" applyFont="1" applyFill="1" applyBorder="1" applyAlignment="1" applyProtection="1">
      <alignment horizontal="right"/>
    </xf>
    <xf numFmtId="0" fontId="8" fillId="5" borderId="51" xfId="0" applyFont="1" applyFill="1" applyBorder="1"/>
    <xf numFmtId="37" fontId="62" fillId="0" borderId="11" xfId="0" applyNumberFormat="1" applyFont="1" applyBorder="1" applyAlignment="1">
      <alignment horizontal="right"/>
    </xf>
    <xf numFmtId="0" fontId="10" fillId="0" borderId="0" xfId="0" applyFont="1" applyAlignment="1">
      <alignment horizontal="right" vertical="top"/>
    </xf>
    <xf numFmtId="37" fontId="8" fillId="0" borderId="19" xfId="0" applyNumberFormat="1" applyFont="1" applyBorder="1" applyAlignment="1">
      <alignment horizontal="right"/>
    </xf>
    <xf numFmtId="49" fontId="36" fillId="4" borderId="0" xfId="8" applyNumberFormat="1" applyFont="1" applyFill="1" applyBorder="1" applyAlignment="1" applyProtection="1">
      <alignment horizontal="right"/>
    </xf>
    <xf numFmtId="49" fontId="8" fillId="0" borderId="0" xfId="0" applyNumberFormat="1" applyFont="1" applyBorder="1" applyAlignment="1">
      <alignment horizontal="right" wrapText="1"/>
    </xf>
    <xf numFmtId="37" fontId="8" fillId="0" borderId="52" xfId="0" applyNumberFormat="1" applyFont="1" applyBorder="1" applyAlignment="1">
      <alignment horizontal="right"/>
    </xf>
    <xf numFmtId="0" fontId="8" fillId="8" borderId="28" xfId="0" applyFont="1" applyFill="1" applyBorder="1"/>
    <xf numFmtId="0" fontId="113" fillId="0" borderId="0" xfId="0" applyFont="1"/>
    <xf numFmtId="0" fontId="25" fillId="0" borderId="28" xfId="0" applyFont="1" applyBorder="1"/>
    <xf numFmtId="183" fontId="36" fillId="0" borderId="49" xfId="4" applyNumberFormat="1" applyFont="1" applyBorder="1" applyAlignment="1" applyProtection="1">
      <alignment horizontal="right"/>
    </xf>
    <xf numFmtId="49" fontId="8" fillId="0" borderId="10" xfId="0" applyNumberFormat="1" applyFont="1" applyBorder="1" applyAlignment="1">
      <alignment horizontal="right" wrapText="1"/>
    </xf>
    <xf numFmtId="0" fontId="105" fillId="0" borderId="23" xfId="0" applyFont="1" applyBorder="1" applyAlignment="1">
      <alignment horizontal="center" vertical="top" wrapText="1"/>
    </xf>
    <xf numFmtId="37" fontId="4" fillId="0" borderId="0" xfId="0" applyNumberFormat="1" applyFont="1" applyAlignment="1" applyProtection="1">
      <alignment horizontal="right"/>
      <protection locked="0"/>
    </xf>
    <xf numFmtId="37" fontId="62" fillId="0" borderId="19" xfId="4" applyNumberFormat="1" applyFont="1" applyFill="1" applyBorder="1" applyAlignment="1" applyProtection="1">
      <alignment horizontal="right" wrapText="1"/>
      <protection locked="0"/>
    </xf>
    <xf numFmtId="37" fontId="8" fillId="0" borderId="52" xfId="4" applyNumberFormat="1" applyFont="1" applyBorder="1" applyAlignment="1" applyProtection="1">
      <alignment horizontal="right"/>
      <protection locked="0"/>
    </xf>
    <xf numFmtId="37" fontId="8" fillId="0" borderId="94" xfId="4" applyNumberFormat="1" applyFont="1" applyBorder="1" applyAlignment="1" applyProtection="1">
      <alignment horizontal="right"/>
    </xf>
    <xf numFmtId="4" fontId="8" fillId="0" borderId="56" xfId="0" applyNumberFormat="1" applyFont="1" applyBorder="1"/>
    <xf numFmtId="165" fontId="8" fillId="0" borderId="56" xfId="0" applyNumberFormat="1" applyFont="1" applyBorder="1"/>
    <xf numFmtId="0" fontId="8" fillId="8" borderId="0" xfId="0" applyFont="1" applyFill="1" applyBorder="1"/>
    <xf numFmtId="49" fontId="112" fillId="4" borderId="49" xfId="8" quotePrefix="1" applyNumberFormat="1" applyFont="1" applyFill="1" applyBorder="1" applyAlignment="1" applyProtection="1">
      <alignment horizontal="right"/>
    </xf>
    <xf numFmtId="37" fontId="8" fillId="0" borderId="92" xfId="0" applyNumberFormat="1" applyFont="1" applyBorder="1" applyAlignment="1">
      <alignment horizontal="right"/>
    </xf>
    <xf numFmtId="49" fontId="8" fillId="0" borderId="20" xfId="0" applyNumberFormat="1" applyFont="1" applyBorder="1" applyAlignment="1">
      <alignment horizontal="right" wrapText="1"/>
    </xf>
    <xf numFmtId="37" fontId="13" fillId="2" borderId="10" xfId="14" applyNumberFormat="1" applyFont="1" applyBorder="1"/>
    <xf numFmtId="37" fontId="14" fillId="0" borderId="9" xfId="14" applyNumberFormat="1" applyFont="1" applyFill="1" applyBorder="1"/>
    <xf numFmtId="37" fontId="13" fillId="2" borderId="51" xfId="14" applyNumberFormat="1" applyFont="1" applyBorder="1"/>
    <xf numFmtId="37" fontId="13" fillId="2" borderId="52" xfId="14" applyNumberFormat="1" applyFont="1" applyBorder="1"/>
    <xf numFmtId="37" fontId="8" fillId="0" borderId="7" xfId="4" applyNumberFormat="1" applyFont="1" applyBorder="1" applyAlignment="1" applyProtection="1">
      <alignment horizontal="right" vertical="top"/>
      <protection locked="0"/>
    </xf>
    <xf numFmtId="49" fontId="38" fillId="4" borderId="2" xfId="8" applyNumberFormat="1" applyFont="1" applyFill="1" applyBorder="1" applyAlignment="1" applyProtection="1">
      <alignment horizontal="right"/>
    </xf>
    <xf numFmtId="49" fontId="38" fillId="4" borderId="49" xfId="8" applyNumberFormat="1" applyFont="1" applyFill="1" applyBorder="1" applyAlignment="1" applyProtection="1">
      <alignment horizontal="right"/>
    </xf>
    <xf numFmtId="42" fontId="8" fillId="0" borderId="4" xfId="0" applyNumberFormat="1" applyFont="1" applyBorder="1" applyAlignment="1" applyProtection="1">
      <alignment horizontal="right"/>
      <protection locked="0"/>
    </xf>
    <xf numFmtId="37" fontId="4" fillId="0" borderId="10" xfId="0" applyNumberFormat="1" applyFont="1" applyBorder="1" applyAlignment="1" applyProtection="1">
      <alignment wrapText="1"/>
      <protection locked="0"/>
    </xf>
    <xf numFmtId="0" fontId="5" fillId="0" borderId="0" xfId="0" applyFont="1" applyBorder="1" applyAlignment="1">
      <alignment horizontal="left" vertical="center"/>
    </xf>
    <xf numFmtId="0" fontId="36" fillId="4" borderId="49" xfId="8" quotePrefix="1" applyFont="1" applyFill="1" applyBorder="1" applyProtection="1"/>
    <xf numFmtId="0" fontId="36" fillId="0" borderId="0" xfId="8" quotePrefix="1" applyFont="1" applyFill="1" applyBorder="1" applyProtection="1"/>
    <xf numFmtId="177" fontId="37" fillId="4" borderId="0" xfId="8" applyNumberFormat="1" applyFont="1" applyFill="1" applyProtection="1"/>
    <xf numFmtId="37" fontId="8" fillId="0" borderId="39" xfId="0" applyNumberFormat="1" applyFont="1" applyBorder="1" applyAlignment="1" applyProtection="1">
      <alignment horizontal="right"/>
      <protection locked="0"/>
    </xf>
    <xf numFmtId="37" fontId="6" fillId="0" borderId="95" xfId="11" applyNumberFormat="1" applyFont="1" applyBorder="1" applyAlignment="1">
      <alignment horizontal="right"/>
    </xf>
    <xf numFmtId="49" fontId="38" fillId="4" borderId="87" xfId="8" applyNumberFormat="1" applyFont="1" applyFill="1" applyBorder="1" applyAlignment="1" applyProtection="1">
      <alignment horizontal="right"/>
    </xf>
    <xf numFmtId="37" fontId="8" fillId="0" borderId="56" xfId="0" applyNumberFormat="1" applyFont="1" applyBorder="1"/>
    <xf numFmtId="37" fontId="8" fillId="15" borderId="3" xfId="0" applyNumberFormat="1" applyFont="1" applyFill="1" applyBorder="1"/>
    <xf numFmtId="49" fontId="36" fillId="4" borderId="19" xfId="8" applyNumberFormat="1" applyFont="1" applyFill="1" applyBorder="1" applyAlignment="1" applyProtection="1">
      <alignment horizontal="right"/>
    </xf>
    <xf numFmtId="0" fontId="59" fillId="0" borderId="0" xfId="0" applyFont="1" applyAlignment="1">
      <alignment vertical="top" wrapText="1"/>
    </xf>
    <xf numFmtId="0" fontId="39" fillId="0" borderId="0" xfId="0" applyFont="1" applyBorder="1" applyAlignment="1">
      <alignment horizontal="justify" vertical="top"/>
    </xf>
    <xf numFmtId="0" fontId="3" fillId="0" borderId="0" xfId="0" applyFont="1" applyAlignment="1">
      <alignment vertical="top"/>
    </xf>
    <xf numFmtId="0" fontId="39" fillId="0" borderId="17" xfId="0" applyFont="1" applyBorder="1" applyAlignment="1">
      <alignment horizontal="left" vertical="top" wrapText="1"/>
    </xf>
    <xf numFmtId="0" fontId="8" fillId="0" borderId="0" xfId="0" quotePrefix="1" applyFont="1" applyBorder="1"/>
    <xf numFmtId="0" fontId="8" fillId="0" borderId="0" xfId="0" applyFont="1" applyBorder="1" applyAlignment="1">
      <alignment horizontal="right"/>
    </xf>
    <xf numFmtId="39" fontId="8" fillId="0" borderId="0" xfId="0" applyNumberFormat="1" applyFont="1" applyBorder="1"/>
    <xf numFmtId="37" fontId="14" fillId="0" borderId="34" xfId="15" applyNumberFormat="1" applyFont="1" applyFill="1" applyBorder="1" applyAlignment="1">
      <alignment horizontal="right"/>
    </xf>
    <xf numFmtId="37" fontId="6" fillId="0" borderId="0" xfId="0" applyNumberFormat="1" applyFont="1" applyAlignment="1">
      <alignment horizontal="right"/>
    </xf>
    <xf numFmtId="37" fontId="6" fillId="2" borderId="0" xfId="15" applyNumberFormat="1" applyFont="1" applyAlignment="1">
      <alignment horizontal="right"/>
    </xf>
    <xf numFmtId="37" fontId="6" fillId="2" borderId="0" xfId="15" applyNumberFormat="1" applyFont="1" applyAlignment="1">
      <alignment horizontal="center"/>
    </xf>
    <xf numFmtId="37" fontId="6" fillId="2" borderId="2" xfId="15" applyNumberFormat="1" applyFont="1" applyBorder="1" applyAlignment="1">
      <alignment horizontal="right"/>
    </xf>
    <xf numFmtId="37" fontId="6" fillId="2" borderId="34" xfId="15" applyNumberFormat="1" applyFont="1" applyBorder="1" applyAlignment="1">
      <alignment horizontal="right"/>
    </xf>
    <xf numFmtId="37" fontId="6" fillId="2" borderId="22" xfId="15" applyNumberFormat="1" applyFont="1" applyBorder="1" applyAlignment="1">
      <alignment horizontal="center"/>
    </xf>
    <xf numFmtId="37" fontId="14" fillId="2" borderId="33" xfId="15" applyNumberFormat="1" applyFont="1" applyBorder="1" applyAlignment="1" applyProtection="1">
      <alignment horizontal="right"/>
      <protection locked="0"/>
    </xf>
    <xf numFmtId="37" fontId="14" fillId="2" borderId="87" xfId="15" applyNumberFormat="1" applyFont="1" applyBorder="1" applyAlignment="1" applyProtection="1">
      <alignment horizontal="right"/>
      <protection locked="0"/>
    </xf>
    <xf numFmtId="0" fontId="30" fillId="5" borderId="0" xfId="13" applyFont="1" applyFill="1" applyAlignment="1">
      <alignment horizontal="left" vertical="center"/>
    </xf>
    <xf numFmtId="0" fontId="114" fillId="4" borderId="0" xfId="8" applyFont="1" applyFill="1" applyProtection="1"/>
    <xf numFmtId="0" fontId="96" fillId="0" borderId="0" xfId="0" applyFont="1"/>
    <xf numFmtId="49" fontId="114" fillId="4" borderId="20" xfId="8" applyNumberFormat="1" applyFont="1" applyFill="1" applyBorder="1" applyAlignment="1" applyProtection="1">
      <alignment horizontal="center" vertical="center"/>
    </xf>
    <xf numFmtId="49" fontId="37" fillId="4" borderId="0" xfId="8" applyNumberFormat="1" applyFont="1" applyFill="1" applyAlignment="1" applyProtection="1">
      <alignment horizontal="center" vertical="center"/>
    </xf>
    <xf numFmtId="0" fontId="44" fillId="4" borderId="0" xfId="8" applyFont="1" applyFill="1" applyProtection="1"/>
    <xf numFmtId="0" fontId="115" fillId="4" borderId="0" xfId="8" applyFont="1" applyFill="1" applyAlignment="1" applyProtection="1">
      <alignment horizontal="left" vertical="center"/>
    </xf>
    <xf numFmtId="49" fontId="62" fillId="0" borderId="0" xfId="13" quotePrefix="1" applyNumberFormat="1" applyFont="1" applyFill="1" applyAlignment="1">
      <alignment horizontal="right"/>
    </xf>
    <xf numFmtId="37" fontId="62" fillId="2" borderId="0" xfId="13" applyNumberFormat="1" applyFont="1" applyAlignment="1">
      <alignment horizontal="left"/>
    </xf>
    <xf numFmtId="37" fontId="62" fillId="2" borderId="0" xfId="13" applyNumberFormat="1" applyFont="1"/>
    <xf numFmtId="1" fontId="62" fillId="0" borderId="0" xfId="13" quotePrefix="1" applyNumberFormat="1" applyFont="1" applyFill="1" applyAlignment="1">
      <alignment horizontal="right"/>
    </xf>
    <xf numFmtId="0" fontId="116" fillId="0" borderId="0" xfId="13" applyFont="1" applyFill="1"/>
    <xf numFmtId="0" fontId="10" fillId="0" borderId="0" xfId="0" applyFont="1" applyAlignment="1">
      <alignment horizontal="center" vertical="top"/>
    </xf>
    <xf numFmtId="0" fontId="10" fillId="0" borderId="0" xfId="0" applyFont="1" applyAlignment="1">
      <alignment horizontal="left" vertical="top"/>
    </xf>
    <xf numFmtId="0" fontId="120" fillId="0" borderId="0" xfId="0" applyFont="1" applyAlignment="1">
      <alignment wrapText="1"/>
    </xf>
    <xf numFmtId="0" fontId="119" fillId="0" borderId="0" xfId="0" applyFont="1"/>
    <xf numFmtId="0" fontId="118" fillId="0" borderId="0" xfId="0" applyFont="1"/>
    <xf numFmtId="0" fontId="39" fillId="0" borderId="0" xfId="0" applyFont="1" applyBorder="1" applyAlignment="1">
      <alignment horizontal="justify" vertical="top" wrapText="1"/>
    </xf>
    <xf numFmtId="0" fontId="121" fillId="0" borderId="9" xfId="8" applyFont="1" applyBorder="1" applyAlignment="1">
      <alignment horizontal="center" vertical="top"/>
      <protection locked="0"/>
    </xf>
    <xf numFmtId="0" fontId="39" fillId="0" borderId="9" xfId="8" applyFont="1" applyBorder="1" applyAlignment="1">
      <alignment horizontal="center" vertical="top"/>
      <protection locked="0"/>
    </xf>
    <xf numFmtId="0" fontId="121" fillId="0" borderId="9" xfId="8" applyFont="1" applyFill="1" applyBorder="1" applyAlignment="1">
      <alignment horizontal="center" vertical="top"/>
      <protection locked="0"/>
    </xf>
    <xf numFmtId="0" fontId="121" fillId="0" borderId="9" xfId="8" applyFont="1" applyBorder="1" applyAlignment="1">
      <alignment horizontal="center" vertical="top" wrapText="1"/>
      <protection locked="0"/>
    </xf>
    <xf numFmtId="0" fontId="71" fillId="18" borderId="0" xfId="8" quotePrefix="1" applyFont="1" applyFill="1" applyProtection="1"/>
    <xf numFmtId="0" fontId="71" fillId="19" borderId="0" xfId="8" quotePrefix="1" applyFont="1" applyFill="1" applyProtection="1"/>
    <xf numFmtId="0" fontId="2" fillId="0" borderId="0" xfId="0" quotePrefix="1" applyFont="1"/>
    <xf numFmtId="7" fontId="8" fillId="19" borderId="9" xfId="0" applyNumberFormat="1" applyFont="1" applyFill="1" applyBorder="1" applyProtection="1">
      <protection locked="0"/>
    </xf>
    <xf numFmtId="0" fontId="71" fillId="19" borderId="0" xfId="8" quotePrefix="1" applyFont="1" applyFill="1" applyAlignment="1" applyProtection="1">
      <alignment horizontal="right"/>
    </xf>
    <xf numFmtId="0" fontId="71" fillId="19" borderId="0" xfId="8" quotePrefix="1" applyFont="1" applyFill="1" applyAlignment="1" applyProtection="1">
      <alignment vertical="top"/>
    </xf>
    <xf numFmtId="0" fontId="8" fillId="0" borderId="25" xfId="0" quotePrefix="1" applyFont="1" applyBorder="1"/>
    <xf numFmtId="0" fontId="8" fillId="0" borderId="25" xfId="0" quotePrefix="1" applyFont="1" applyBorder="1" applyAlignment="1">
      <alignment horizontal="left"/>
    </xf>
    <xf numFmtId="0" fontId="8" fillId="5" borderId="25" xfId="0" quotePrefix="1" applyFont="1" applyFill="1" applyBorder="1"/>
    <xf numFmtId="0" fontId="8" fillId="0" borderId="30" xfId="0" quotePrefix="1" applyFont="1" applyBorder="1"/>
    <xf numFmtId="0" fontId="8" fillId="0" borderId="16" xfId="0" quotePrefix="1" applyFont="1" applyBorder="1"/>
    <xf numFmtId="0" fontId="8" fillId="0" borderId="96" xfId="0" quotePrefix="1" applyFont="1" applyBorder="1"/>
    <xf numFmtId="6" fontId="8" fillId="8" borderId="0" xfId="0" applyNumberFormat="1" applyFont="1" applyFill="1" applyBorder="1" applyAlignment="1">
      <alignment horizontal="left"/>
    </xf>
    <xf numFmtId="37" fontId="8" fillId="0" borderId="38" xfId="0" applyNumberFormat="1" applyFont="1" applyBorder="1"/>
    <xf numFmtId="37" fontId="122" fillId="0" borderId="3" xfId="0" applyNumberFormat="1" applyFont="1" applyBorder="1"/>
    <xf numFmtId="0" fontId="121" fillId="0" borderId="17" xfId="8" applyFont="1" applyFill="1" applyBorder="1" applyAlignment="1">
      <alignment horizontal="center" vertical="top"/>
      <protection locked="0"/>
    </xf>
    <xf numFmtId="1" fontId="62" fillId="2" borderId="0" xfId="13" quotePrefix="1" applyNumberFormat="1" applyFont="1" applyAlignment="1">
      <alignment horizontal="right"/>
    </xf>
    <xf numFmtId="177" fontId="39" fillId="0" borderId="17" xfId="9" applyNumberFormat="1" applyFont="1" applyFill="1" applyBorder="1" applyAlignment="1" applyProtection="1">
      <alignment vertical="top" wrapText="1"/>
    </xf>
    <xf numFmtId="0" fontId="39" fillId="0" borderId="9" xfId="8" applyFont="1" applyFill="1" applyBorder="1" applyAlignment="1" applyProtection="1">
      <alignment horizontal="justify" vertical="top" wrapText="1"/>
    </xf>
    <xf numFmtId="0" fontId="5" fillId="0" borderId="0" xfId="0" applyFont="1" applyAlignment="1">
      <alignment horizontal="left"/>
    </xf>
    <xf numFmtId="0" fontId="109" fillId="0" borderId="0" xfId="0" applyFont="1"/>
    <xf numFmtId="0" fontId="5" fillId="0" borderId="0" xfId="0" applyFont="1" applyAlignment="1">
      <alignment horizontal="left" vertical="center"/>
    </xf>
    <xf numFmtId="0" fontId="45" fillId="0" borderId="0" xfId="8" applyFont="1" applyFill="1" applyProtection="1"/>
    <xf numFmtId="0" fontId="8" fillId="0" borderId="96" xfId="0" applyFont="1" applyBorder="1"/>
    <xf numFmtId="0" fontId="6" fillId="0" borderId="2" xfId="14" applyFont="1" applyFill="1" applyBorder="1"/>
    <xf numFmtId="37" fontId="15" fillId="0" borderId="0" xfId="14" applyNumberFormat="1" applyFont="1" applyFill="1"/>
    <xf numFmtId="0" fontId="8" fillId="8" borderId="0" xfId="0" applyFont="1" applyFill="1" applyBorder="1" applyAlignment="1">
      <alignment horizontal="right"/>
    </xf>
    <xf numFmtId="39" fontId="8" fillId="8" borderId="21" xfId="0" applyNumberFormat="1" applyFont="1" applyFill="1" applyBorder="1"/>
    <xf numFmtId="0" fontId="8" fillId="8" borderId="0" xfId="0" applyFont="1" applyFill="1" applyAlignment="1">
      <alignment horizontal="left" vertical="center" wrapText="1"/>
    </xf>
    <xf numFmtId="174" fontId="8" fillId="8" borderId="21" xfId="0" applyNumberFormat="1" applyFont="1" applyFill="1" applyBorder="1"/>
    <xf numFmtId="0" fontId="8" fillId="8" borderId="0" xfId="0" applyFont="1" applyFill="1" applyAlignment="1">
      <alignment horizontal="left" vertical="center"/>
    </xf>
    <xf numFmtId="2" fontId="8" fillId="8" borderId="0" xfId="0" applyNumberFormat="1" applyFont="1" applyFill="1" applyBorder="1" applyAlignment="1">
      <alignment horizontal="right"/>
    </xf>
    <xf numFmtId="37" fontId="122" fillId="0" borderId="33" xfId="0" applyNumberFormat="1" applyFont="1" applyBorder="1" applyProtection="1">
      <protection locked="0"/>
    </xf>
    <xf numFmtId="37" fontId="3" fillId="0" borderId="23" xfId="0" applyNumberFormat="1" applyFont="1" applyBorder="1"/>
    <xf numFmtId="37" fontId="8" fillId="0" borderId="31" xfId="0" applyNumberFormat="1" applyFont="1" applyBorder="1"/>
    <xf numFmtId="37" fontId="8" fillId="0" borderId="97" xfId="0" applyNumberFormat="1" applyFont="1" applyBorder="1" applyProtection="1">
      <protection locked="0"/>
    </xf>
    <xf numFmtId="37" fontId="8" fillId="0" borderId="34" xfId="0" applyNumberFormat="1" applyFont="1" applyBorder="1" applyProtection="1">
      <protection locked="0"/>
    </xf>
    <xf numFmtId="37" fontId="8" fillId="0" borderId="9" xfId="0" applyNumberFormat="1" applyFont="1" applyBorder="1"/>
    <xf numFmtId="37" fontId="6" fillId="0" borderId="3" xfId="11" applyNumberFormat="1" applyFont="1" applyBorder="1" applyAlignment="1">
      <alignment horizontal="right"/>
    </xf>
    <xf numFmtId="37" fontId="8" fillId="0" borderId="15" xfId="0" quotePrefix="1" applyNumberFormat="1" applyFont="1" applyBorder="1" applyAlignment="1">
      <alignment horizontal="right"/>
    </xf>
    <xf numFmtId="37" fontId="6" fillId="0" borderId="15" xfId="0" applyNumberFormat="1" applyFont="1" applyBorder="1" applyAlignment="1">
      <alignment horizontal="right"/>
    </xf>
    <xf numFmtId="176" fontId="10" fillId="0" borderId="10" xfId="0" applyNumberFormat="1" applyFont="1" applyBorder="1" applyAlignment="1" applyProtection="1">
      <alignment horizontal="right" wrapText="1"/>
      <protection locked="0"/>
    </xf>
    <xf numFmtId="3" fontId="8" fillId="0" borderId="15" xfId="0" applyNumberFormat="1" applyFont="1" applyBorder="1" applyProtection="1">
      <protection locked="0"/>
    </xf>
    <xf numFmtId="3" fontId="8" fillId="0" borderId="0" xfId="0" applyNumberFormat="1" applyFont="1" applyProtection="1">
      <protection locked="0"/>
    </xf>
    <xf numFmtId="4" fontId="12" fillId="0" borderId="9" xfId="0" applyNumberFormat="1" applyFont="1" applyBorder="1" applyAlignment="1" applyProtection="1">
      <alignment horizontal="right"/>
      <protection locked="0"/>
    </xf>
    <xf numFmtId="49" fontId="4" fillId="0" borderId="45" xfId="0" applyNumberFormat="1" applyFont="1" applyBorder="1" applyAlignment="1">
      <alignment horizontal="center"/>
    </xf>
    <xf numFmtId="0" fontId="0" fillId="0" borderId="4" xfId="0" applyBorder="1"/>
    <xf numFmtId="49" fontId="4" fillId="0" borderId="4" xfId="0" applyNumberFormat="1" applyFont="1" applyBorder="1" applyAlignment="1">
      <alignment horizontal="left"/>
    </xf>
    <xf numFmtId="0" fontId="12" fillId="0" borderId="1" xfId="0" applyFont="1" applyBorder="1" applyAlignment="1">
      <alignment horizontal="center"/>
    </xf>
    <xf numFmtId="0" fontId="12" fillId="0" borderId="32" xfId="0" applyFont="1" applyBorder="1" applyAlignment="1">
      <alignment horizontal="center"/>
    </xf>
    <xf numFmtId="0" fontId="22" fillId="0" borderId="25" xfId="0" applyFont="1" applyBorder="1" applyAlignment="1">
      <alignment horizontal="center"/>
    </xf>
    <xf numFmtId="0" fontId="22" fillId="0" borderId="0" xfId="0" applyFont="1" applyAlignment="1">
      <alignment horizontal="center"/>
    </xf>
    <xf numFmtId="0" fontId="22" fillId="0" borderId="2" xfId="0" applyFont="1" applyBorder="1" applyAlignment="1">
      <alignment horizontal="center"/>
    </xf>
    <xf numFmtId="0" fontId="12" fillId="0" borderId="39" xfId="0" applyFont="1" applyBorder="1" applyAlignment="1">
      <alignment horizontal="center"/>
    </xf>
    <xf numFmtId="0" fontId="12" fillId="0" borderId="81" xfId="0" applyFont="1" applyBorder="1" applyAlignment="1">
      <alignment horizontal="center"/>
    </xf>
    <xf numFmtId="0" fontId="4" fillId="0" borderId="4" xfId="0" applyFont="1" applyBorder="1" applyAlignment="1">
      <alignment horizontal="left"/>
    </xf>
    <xf numFmtId="0" fontId="114" fillId="4" borderId="0" xfId="8" quotePrefix="1" applyFont="1" applyFill="1" applyAlignment="1" applyProtection="1">
      <alignment horizontal="center" vertical="center"/>
    </xf>
    <xf numFmtId="0" fontId="114" fillId="4" borderId="0" xfId="8" applyFont="1" applyFill="1" applyAlignment="1" applyProtection="1">
      <alignment horizontal="center" vertical="center"/>
    </xf>
    <xf numFmtId="4" fontId="12" fillId="0" borderId="102" xfId="0" applyNumberFormat="1" applyFont="1" applyBorder="1" applyAlignment="1">
      <alignment horizontal="right"/>
    </xf>
    <xf numFmtId="4" fontId="12" fillId="0" borderId="103" xfId="0" applyNumberFormat="1" applyFont="1" applyBorder="1" applyAlignment="1">
      <alignment horizontal="right"/>
    </xf>
    <xf numFmtId="4" fontId="12" fillId="0" borderId="25" xfId="0" applyNumberFormat="1" applyFont="1" applyBorder="1" applyAlignment="1" applyProtection="1">
      <alignment horizontal="right"/>
      <protection locked="0"/>
    </xf>
    <xf numFmtId="4" fontId="12" fillId="0" borderId="2" xfId="0" applyNumberFormat="1" applyFont="1" applyBorder="1" applyAlignment="1" applyProtection="1">
      <alignment horizontal="right"/>
      <protection locked="0"/>
    </xf>
    <xf numFmtId="4" fontId="12" fillId="0" borderId="106" xfId="0" applyNumberFormat="1" applyFont="1" applyBorder="1" applyAlignment="1">
      <alignment horizontal="right"/>
    </xf>
    <xf numFmtId="4" fontId="12" fillId="0" borderId="107" xfId="0" applyNumberFormat="1" applyFont="1" applyBorder="1" applyAlignment="1">
      <alignment horizontal="right"/>
    </xf>
    <xf numFmtId="37" fontId="8" fillId="0" borderId="0" xfId="0" applyNumberFormat="1" applyFont="1" applyBorder="1" applyAlignment="1">
      <alignment horizontal="right"/>
    </xf>
    <xf numFmtId="37" fontId="12" fillId="0" borderId="0" xfId="0" applyNumberFormat="1" applyFont="1" applyBorder="1" applyAlignment="1">
      <alignment horizontal="right"/>
    </xf>
    <xf numFmtId="49" fontId="10" fillId="0" borderId="0" xfId="0" applyNumberFormat="1" applyFont="1" applyAlignment="1">
      <alignment horizontal="left"/>
    </xf>
    <xf numFmtId="0" fontId="32" fillId="0" borderId="0" xfId="0" applyFont="1" applyAlignment="1">
      <alignment horizontal="left"/>
    </xf>
    <xf numFmtId="0" fontId="10" fillId="0" borderId="0" xfId="0" applyFont="1" applyBorder="1" applyAlignment="1">
      <alignment horizontal="center"/>
    </xf>
    <xf numFmtId="37" fontId="10" fillId="0" borderId="0" xfId="0" applyNumberFormat="1" applyFont="1" applyBorder="1" applyAlignment="1">
      <alignment horizontal="center"/>
    </xf>
    <xf numFmtId="4" fontId="12" fillId="0" borderId="104" xfId="0" applyNumberFormat="1" applyFont="1" applyBorder="1" applyAlignment="1" applyProtection="1">
      <alignment horizontal="right"/>
      <protection locked="0"/>
    </xf>
    <xf numFmtId="4" fontId="12" fillId="0" borderId="105" xfId="0" applyNumberFormat="1" applyFont="1" applyBorder="1" applyAlignment="1" applyProtection="1">
      <alignment horizontal="right"/>
      <protection locked="0"/>
    </xf>
    <xf numFmtId="0" fontId="61" fillId="0" borderId="0" xfId="0" applyFont="1" applyAlignment="1">
      <alignment horizontal="center" wrapText="1"/>
    </xf>
    <xf numFmtId="0" fontId="8" fillId="0" borderId="4" xfId="0" applyFont="1" applyBorder="1" applyProtection="1">
      <protection locked="0"/>
    </xf>
    <xf numFmtId="49" fontId="4" fillId="0" borderId="4" xfId="0" applyNumberFormat="1" applyFont="1" applyBorder="1" applyAlignment="1" applyProtection="1">
      <alignment horizontal="left"/>
      <protection locked="0"/>
    </xf>
    <xf numFmtId="49" fontId="2" fillId="0" borderId="4" xfId="0" applyNumberFormat="1" applyFont="1" applyBorder="1" applyProtection="1">
      <protection locked="0"/>
    </xf>
    <xf numFmtId="0" fontId="8" fillId="0" borderId="37" xfId="0" applyFont="1" applyBorder="1" applyProtection="1">
      <protection locked="0"/>
    </xf>
    <xf numFmtId="0" fontId="8" fillId="0" borderId="0" xfId="0" applyFont="1" applyAlignment="1">
      <alignment horizontal="center" vertical="top" wrapText="1"/>
    </xf>
    <xf numFmtId="0" fontId="66" fillId="0" borderId="0" xfId="0" applyFont="1" applyAlignment="1">
      <alignment horizontal="center" vertical="center" wrapText="1"/>
    </xf>
    <xf numFmtId="0" fontId="66" fillId="0" borderId="10" xfId="0" applyFont="1" applyBorder="1" applyAlignment="1">
      <alignment horizontal="center" vertical="center" wrapText="1"/>
    </xf>
    <xf numFmtId="49" fontId="114" fillId="4" borderId="0" xfId="8" applyNumberFormat="1" applyFont="1" applyFill="1" applyAlignment="1" applyProtection="1">
      <alignment horizontal="center" vertical="center"/>
    </xf>
    <xf numFmtId="0" fontId="114" fillId="4" borderId="0" xfId="8" applyFont="1" applyFill="1" applyAlignment="1">
      <alignment horizontal="center"/>
      <protection locked="0"/>
    </xf>
    <xf numFmtId="176" fontId="8" fillId="0" borderId="45" xfId="0" applyNumberFormat="1" applyFont="1" applyBorder="1" applyAlignment="1" applyProtection="1">
      <alignment horizontal="center"/>
      <protection locked="0"/>
    </xf>
    <xf numFmtId="0" fontId="8" fillId="0" borderId="1" xfId="0" applyFont="1" applyBorder="1" applyAlignment="1">
      <alignment horizontal="center"/>
    </xf>
    <xf numFmtId="176" fontId="8" fillId="0" borderId="37" xfId="0" applyNumberFormat="1" applyFont="1" applyBorder="1" applyAlignment="1" applyProtection="1">
      <alignment horizontal="center"/>
      <protection locked="0"/>
    </xf>
    <xf numFmtId="0" fontId="8" fillId="0" borderId="46" xfId="0" applyFont="1" applyBorder="1" applyAlignment="1" applyProtection="1">
      <alignment horizontal="left" vertical="top" wrapText="1"/>
      <protection locked="0"/>
    </xf>
    <xf numFmtId="0" fontId="8" fillId="0" borderId="20" xfId="0" applyFont="1" applyBorder="1" applyAlignment="1" applyProtection="1">
      <alignment horizontal="left" vertical="top" wrapText="1"/>
      <protection locked="0"/>
    </xf>
    <xf numFmtId="0" fontId="8" fillId="0" borderId="35" xfId="0" applyFont="1" applyBorder="1" applyAlignment="1" applyProtection="1">
      <alignment horizontal="left" vertical="top" wrapText="1"/>
      <protection locked="0"/>
    </xf>
    <xf numFmtId="0" fontId="8" fillId="0" borderId="28"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protection locked="0"/>
    </xf>
    <xf numFmtId="0" fontId="8" fillId="0" borderId="49"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10" xfId="0" applyFont="1" applyBorder="1" applyAlignment="1" applyProtection="1">
      <alignment horizontal="left" vertical="top" wrapText="1"/>
      <protection locked="0"/>
    </xf>
    <xf numFmtId="0" fontId="8" fillId="0" borderId="52" xfId="0" applyFont="1" applyBorder="1" applyAlignment="1" applyProtection="1">
      <alignment horizontal="left" vertical="top" wrapText="1"/>
      <protection locked="0"/>
    </xf>
    <xf numFmtId="0" fontId="8" fillId="0" borderId="1" xfId="0" applyFont="1" applyBorder="1" applyAlignment="1">
      <alignment horizontal="center" vertical="top"/>
    </xf>
    <xf numFmtId="0" fontId="8" fillId="0" borderId="45" xfId="0" applyFont="1" applyBorder="1" applyAlignment="1" applyProtection="1">
      <alignment horizontal="center"/>
      <protection locked="0"/>
    </xf>
    <xf numFmtId="0" fontId="8" fillId="0" borderId="0" xfId="0" applyFont="1" applyAlignment="1">
      <alignment horizontal="left"/>
    </xf>
    <xf numFmtId="0" fontId="8" fillId="0" borderId="0" xfId="0" applyFont="1" applyAlignment="1">
      <alignment horizontal="center"/>
    </xf>
    <xf numFmtId="0" fontId="8" fillId="0" borderId="100" xfId="0" applyFont="1" applyBorder="1" applyAlignment="1">
      <alignment horizontal="center" vertical="center"/>
    </xf>
    <xf numFmtId="180" fontId="8" fillId="0" borderId="4" xfId="0" quotePrefix="1" applyNumberFormat="1" applyFont="1" applyBorder="1" applyAlignment="1" applyProtection="1">
      <alignment horizontal="center"/>
      <protection locked="0"/>
    </xf>
    <xf numFmtId="0" fontId="31" fillId="0" borderId="4" xfId="8" applyFont="1" applyBorder="1" applyAlignment="1">
      <alignment horizontal="center"/>
      <protection locked="0"/>
    </xf>
    <xf numFmtId="0" fontId="8" fillId="0" borderId="4" xfId="0" applyFont="1" applyBorder="1" applyAlignment="1" applyProtection="1">
      <alignment horizontal="center"/>
      <protection locked="0"/>
    </xf>
    <xf numFmtId="0" fontId="8" fillId="0" borderId="10" xfId="0" applyFont="1" applyBorder="1" applyProtection="1">
      <protection locked="0"/>
    </xf>
    <xf numFmtId="0" fontId="31" fillId="0" borderId="20" xfId="8" applyFont="1" applyBorder="1" applyAlignment="1" applyProtection="1">
      <alignment horizontal="center" wrapText="1"/>
    </xf>
    <xf numFmtId="38" fontId="8" fillId="0" borderId="45" xfId="0" applyNumberFormat="1" applyFont="1" applyBorder="1" applyAlignment="1" applyProtection="1">
      <alignment horizontal="center"/>
      <protection locked="0"/>
    </xf>
    <xf numFmtId="0" fontId="87" fillId="0" borderId="0" xfId="0" applyFont="1" applyAlignment="1">
      <alignment horizontal="center" vertical="center" wrapText="1"/>
    </xf>
    <xf numFmtId="0" fontId="8" fillId="0" borderId="2" xfId="0" applyFont="1" applyBorder="1" applyAlignment="1">
      <alignment horizontal="center"/>
    </xf>
    <xf numFmtId="0" fontId="8" fillId="20" borderId="4" xfId="0" applyFont="1" applyFill="1" applyBorder="1" applyAlignment="1" applyProtection="1">
      <alignment horizontal="center"/>
      <protection locked="0"/>
    </xf>
    <xf numFmtId="0" fontId="8"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4" xfId="0" applyFont="1" applyBorder="1" applyAlignment="1">
      <alignment horizontal="center"/>
    </xf>
    <xf numFmtId="0" fontId="2" fillId="0" borderId="4" xfId="0" applyFont="1" applyBorder="1" applyAlignment="1">
      <alignment horizontal="center"/>
    </xf>
    <xf numFmtId="0" fontId="2" fillId="0" borderId="4" xfId="0" applyFont="1" applyBorder="1"/>
    <xf numFmtId="0" fontId="10" fillId="0" borderId="0" xfId="0" applyFont="1" applyAlignment="1">
      <alignment horizontal="right" vertical="top" wrapText="1"/>
    </xf>
    <xf numFmtId="0" fontId="8" fillId="0" borderId="101" xfId="0" applyFont="1" applyBorder="1" applyAlignment="1">
      <alignment horizontal="left" wrapText="1"/>
    </xf>
    <xf numFmtId="0" fontId="8" fillId="0" borderId="42" xfId="0" applyFont="1" applyBorder="1" applyAlignment="1">
      <alignment horizontal="left" wrapText="1"/>
    </xf>
    <xf numFmtId="38" fontId="59" fillId="0" borderId="0" xfId="0" applyNumberFormat="1" applyFont="1" applyAlignment="1">
      <alignment horizontal="right"/>
    </xf>
    <xf numFmtId="0" fontId="98" fillId="0" borderId="0" xfId="8" applyFont="1" applyFill="1" applyAlignment="1" applyProtection="1">
      <alignment horizontal="left"/>
    </xf>
    <xf numFmtId="38" fontId="4" fillId="0" borderId="2" xfId="0" applyNumberFormat="1" applyFont="1" applyBorder="1"/>
    <xf numFmtId="0" fontId="0" fillId="0" borderId="2" xfId="0" applyBorder="1"/>
    <xf numFmtId="0" fontId="9" fillId="0" borderId="0" xfId="0" applyFont="1" applyAlignment="1">
      <alignment horizontal="right"/>
    </xf>
    <xf numFmtId="0" fontId="0" fillId="0" borderId="0" xfId="0" applyAlignment="1">
      <alignment horizontal="right"/>
    </xf>
    <xf numFmtId="0" fontId="97" fillId="0" borderId="0" xfId="0" applyFont="1" applyAlignment="1">
      <alignment horizontal="left" vertical="top" wrapText="1"/>
    </xf>
    <xf numFmtId="0" fontId="9" fillId="5" borderId="0" xfId="0" applyFont="1" applyFill="1" applyAlignment="1">
      <alignment horizontal="center"/>
    </xf>
    <xf numFmtId="0" fontId="37" fillId="5" borderId="0" xfId="8" applyFont="1" applyFill="1" applyAlignment="1" applyProtection="1">
      <alignment horizontal="left"/>
    </xf>
    <xf numFmtId="0" fontId="8" fillId="0" borderId="28" xfId="0" applyFont="1" applyBorder="1" applyAlignment="1">
      <alignment wrapText="1"/>
    </xf>
    <xf numFmtId="0" fontId="8" fillId="0" borderId="0" xfId="0" applyFont="1" applyBorder="1" applyAlignment="1">
      <alignment wrapText="1"/>
    </xf>
    <xf numFmtId="0" fontId="8" fillId="0" borderId="51" xfId="0" applyFont="1" applyBorder="1" applyAlignment="1">
      <alignment horizontal="left" wrapText="1"/>
    </xf>
    <xf numFmtId="0" fontId="8" fillId="0" borderId="10" xfId="0" applyFont="1" applyBorder="1" applyAlignment="1">
      <alignment horizontal="left" wrapText="1"/>
    </xf>
    <xf numFmtId="37" fontId="8" fillId="0" borderId="0" xfId="0" applyNumberFormat="1" applyFont="1"/>
    <xf numFmtId="0" fontId="8" fillId="0" borderId="28" xfId="0" applyFont="1" applyBorder="1" applyAlignment="1">
      <alignment horizontal="left" wrapText="1"/>
    </xf>
    <xf numFmtId="0" fontId="8" fillId="0" borderId="0" xfId="0" applyFont="1" applyBorder="1" applyAlignment="1">
      <alignment horizontal="left" wrapText="1"/>
    </xf>
    <xf numFmtId="0" fontId="81" fillId="0" borderId="0" xfId="0" applyFont="1" applyAlignment="1">
      <alignment horizontal="left"/>
    </xf>
    <xf numFmtId="0" fontId="0" fillId="0" borderId="4" xfId="0" applyBorder="1" applyAlignment="1">
      <alignment horizontal="left"/>
    </xf>
    <xf numFmtId="0" fontId="88" fillId="0" borderId="10" xfId="0" applyFont="1" applyBorder="1" applyAlignment="1">
      <alignment horizontal="center" vertical="center"/>
    </xf>
    <xf numFmtId="0" fontId="6" fillId="0" borderId="22" xfId="0" applyFont="1" applyBorder="1" applyAlignment="1">
      <alignment horizontal="center"/>
    </xf>
    <xf numFmtId="0" fontId="6" fillId="0" borderId="19" xfId="0" applyFont="1" applyBorder="1" applyAlignment="1">
      <alignment horizontal="center"/>
    </xf>
    <xf numFmtId="0" fontId="10" fillId="0" borderId="0" xfId="0" applyFont="1" applyBorder="1" applyAlignment="1">
      <alignment horizontal="center" wrapText="1"/>
    </xf>
    <xf numFmtId="0" fontId="8" fillId="0" borderId="0" xfId="0" applyFont="1" applyAlignment="1">
      <alignment horizontal="right"/>
    </xf>
    <xf numFmtId="0" fontId="8" fillId="0" borderId="46" xfId="0" applyFont="1" applyBorder="1" applyAlignment="1">
      <alignment horizontal="left" wrapText="1"/>
    </xf>
    <xf numFmtId="0" fontId="8" fillId="0" borderId="20" xfId="0" applyFont="1" applyBorder="1" applyAlignment="1">
      <alignment horizontal="left" wrapText="1"/>
    </xf>
    <xf numFmtId="0" fontId="8" fillId="0" borderId="0" xfId="0" applyFont="1" applyAlignment="1">
      <alignment horizontal="left" vertical="top" wrapText="1"/>
    </xf>
    <xf numFmtId="0" fontId="8" fillId="0" borderId="91" xfId="0" applyFont="1" applyBorder="1" applyAlignment="1">
      <alignment horizontal="left" wrapText="1"/>
    </xf>
    <xf numFmtId="0" fontId="8" fillId="0" borderId="15" xfId="0" applyFont="1" applyBorder="1" applyAlignment="1">
      <alignment horizontal="center"/>
    </xf>
    <xf numFmtId="0" fontId="0" fillId="0" borderId="31" xfId="0" applyBorder="1"/>
    <xf numFmtId="0" fontId="8" fillId="0" borderId="36" xfId="0" applyFont="1" applyBorder="1" applyAlignment="1">
      <alignment horizontal="center" wrapText="1"/>
    </xf>
    <xf numFmtId="0" fontId="0" fillId="0" borderId="56" xfId="0" applyBorder="1" applyAlignment="1">
      <alignment horizontal="center" wrapText="1"/>
    </xf>
    <xf numFmtId="0" fontId="8" fillId="0" borderId="56" xfId="0" applyFont="1" applyBorder="1" applyAlignment="1">
      <alignment horizontal="center" wrapText="1"/>
    </xf>
    <xf numFmtId="0" fontId="8" fillId="0" borderId="0" xfId="0" applyFont="1" applyAlignment="1">
      <alignment horizontal="center" wrapText="1"/>
    </xf>
    <xf numFmtId="0" fontId="8" fillId="0" borderId="10" xfId="0" applyFont="1" applyBorder="1" applyAlignment="1">
      <alignment horizont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7" fillId="0" borderId="4" xfId="0" applyFont="1" applyBorder="1" applyAlignment="1">
      <alignment horizontal="center"/>
    </xf>
    <xf numFmtId="0" fontId="10" fillId="0" borderId="0" xfId="0" applyFont="1" applyAlignment="1">
      <alignment horizontal="center" vertical="top" wrapText="1"/>
    </xf>
    <xf numFmtId="3" fontId="8" fillId="0" borderId="0" xfId="11" applyNumberFormat="1" applyFont="1" applyAlignment="1">
      <alignment horizontal="right"/>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0" applyNumberFormat="1" applyFont="1"/>
    <xf numFmtId="0" fontId="15" fillId="0" borderId="32" xfId="11" applyFont="1" applyBorder="1" applyAlignment="1">
      <alignment horizontal="center"/>
    </xf>
    <xf numFmtId="0" fontId="15" fillId="0" borderId="15" xfId="11" applyFont="1" applyBorder="1" applyAlignment="1">
      <alignment horizontal="center"/>
    </xf>
    <xf numFmtId="177" fontId="15" fillId="0" borderId="15" xfId="11" applyNumberFormat="1" applyFont="1" applyBorder="1" applyAlignment="1">
      <alignment horizontal="center"/>
    </xf>
    <xf numFmtId="177" fontId="15" fillId="2" borderId="5" xfId="11" applyNumberFormat="1" applyFont="1" applyFill="1" applyBorder="1" applyAlignment="1">
      <alignment horizontal="center"/>
    </xf>
    <xf numFmtId="0" fontId="44" fillId="4" borderId="30" xfId="8" applyFont="1" applyFill="1" applyBorder="1" applyAlignment="1" applyProtection="1">
      <alignment horizontal="center"/>
    </xf>
    <xf numFmtId="0" fontId="44" fillId="4" borderId="32" xfId="8" applyFont="1" applyFill="1" applyBorder="1" applyAlignment="1" applyProtection="1">
      <alignment horizontal="center"/>
    </xf>
    <xf numFmtId="0" fontId="44" fillId="4" borderId="91" xfId="8" applyFont="1" applyFill="1" applyBorder="1" applyAlignment="1" applyProtection="1">
      <alignment horizontal="center"/>
    </xf>
    <xf numFmtId="0" fontId="44" fillId="4" borderId="87" xfId="8" applyFont="1" applyFill="1" applyBorder="1" applyAlignment="1" applyProtection="1">
      <alignment horizontal="center"/>
    </xf>
    <xf numFmtId="0" fontId="15" fillId="0" borderId="34" xfId="11" applyFont="1" applyBorder="1" applyAlignment="1">
      <alignment horizontal="center"/>
    </xf>
    <xf numFmtId="0" fontId="15" fillId="0" borderId="5" xfId="11" applyFont="1" applyBorder="1" applyAlignment="1">
      <alignment horizontal="center"/>
    </xf>
    <xf numFmtId="37" fontId="12" fillId="2" borderId="4" xfId="13" applyNumberFormat="1" applyFont="1" applyBorder="1" applyAlignment="1">
      <alignment horizontal="left"/>
    </xf>
    <xf numFmtId="37" fontId="12" fillId="2" borderId="0" xfId="13" applyNumberFormat="1" applyFont="1"/>
    <xf numFmtId="37" fontId="10" fillId="0" borderId="0" xfId="13" applyNumberFormat="1" applyFont="1" applyFill="1" applyAlignment="1">
      <alignment horizontal="center" vertical="top" wrapText="1"/>
    </xf>
    <xf numFmtId="0" fontId="0" fillId="0" borderId="0" xfId="0" applyAlignment="1">
      <alignment horizontal="center" wrapText="1"/>
    </xf>
    <xf numFmtId="37" fontId="62" fillId="0" borderId="0" xfId="13" applyNumberFormat="1" applyFont="1" applyFill="1" applyAlignment="1">
      <alignment horizontal="left" wrapText="1"/>
    </xf>
    <xf numFmtId="0" fontId="90" fillId="0" borderId="0" xfId="0" applyFont="1" applyAlignment="1">
      <alignment wrapText="1"/>
    </xf>
    <xf numFmtId="0" fontId="62" fillId="0" borderId="0" xfId="13" applyFont="1" applyFill="1" applyAlignment="1">
      <alignment horizontal="left" vertical="top" wrapText="1"/>
    </xf>
    <xf numFmtId="37" fontId="12" fillId="2" borderId="0" xfId="13" applyNumberFormat="1" applyFont="1" applyAlignment="1">
      <alignment horizontal="left" vertical="center" wrapText="1"/>
    </xf>
    <xf numFmtId="0" fontId="8" fillId="0" borderId="0" xfId="13" applyFont="1" applyFill="1" applyAlignment="1">
      <alignment horizontal="left" vertical="top" wrapText="1"/>
    </xf>
    <xf numFmtId="37" fontId="114" fillId="4" borderId="0" xfId="8" applyNumberFormat="1" applyFont="1" applyFill="1" applyAlignment="1" applyProtection="1">
      <alignment horizontal="center" vertic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37" fontId="62" fillId="0" borderId="0" xfId="13" applyNumberFormat="1" applyFont="1" applyFill="1" applyAlignment="1">
      <alignment horizontal="left" vertical="top" wrapText="1"/>
    </xf>
    <xf numFmtId="0" fontId="25" fillId="0" borderId="0" xfId="0" applyFont="1"/>
    <xf numFmtId="0" fontId="8" fillId="0" borderId="10" xfId="21" applyFont="1" applyFill="1" applyBorder="1" applyAlignment="1" applyProtection="1">
      <alignment horizontal="left" vertical="top"/>
      <protection locked="0"/>
    </xf>
    <xf numFmtId="0" fontId="12" fillId="0" borderId="0" xfId="13" applyFont="1" applyFill="1" applyAlignment="1">
      <alignment horizontal="left" vertical="top" wrapText="1"/>
    </xf>
    <xf numFmtId="0" fontId="89" fillId="0" borderId="0" xfId="13" applyFont="1" applyFill="1" applyAlignment="1">
      <alignment horizontal="left" wrapText="1"/>
    </xf>
    <xf numFmtId="37" fontId="8" fillId="0" borderId="0" xfId="13" applyNumberFormat="1" applyFont="1" applyFill="1" applyAlignment="1">
      <alignment horizontal="left" vertical="top" wrapText="1"/>
    </xf>
    <xf numFmtId="0" fontId="8" fillId="0" borderId="10" xfId="21" applyFont="1" applyFill="1" applyBorder="1" applyAlignment="1" applyProtection="1">
      <alignment horizontal="left" vertical="top" wrapText="1"/>
      <protection locked="0"/>
    </xf>
    <xf numFmtId="0" fontId="89" fillId="0" borderId="0" xfId="13" applyFont="1" applyFill="1" applyAlignment="1">
      <alignment horizontal="center" wrapText="1"/>
    </xf>
    <xf numFmtId="0" fontId="89" fillId="0" borderId="0" xfId="13" applyFont="1" applyFill="1" applyAlignment="1">
      <alignment horizontal="center" vertical="center" wrapText="1"/>
    </xf>
    <xf numFmtId="0" fontId="4" fillId="0" borderId="0" xfId="13" applyFont="1" applyFill="1" applyAlignment="1">
      <alignment vertical="top" wrapText="1"/>
    </xf>
    <xf numFmtId="0" fontId="0" fillId="0" borderId="0" xfId="0" applyAlignment="1">
      <alignment vertical="top" wrapText="1"/>
    </xf>
    <xf numFmtId="0" fontId="4" fillId="0" borderId="0" xfId="0" applyFont="1" applyAlignment="1">
      <alignment vertical="top" wrapText="1"/>
    </xf>
    <xf numFmtId="49" fontId="37" fillId="4" borderId="0" xfId="8" applyNumberFormat="1" applyFont="1" applyFill="1" applyAlignment="1" applyProtection="1">
      <alignment horizontal="center" vertical="center"/>
    </xf>
    <xf numFmtId="0" fontId="9" fillId="0" borderId="0" xfId="13" applyFont="1" applyFill="1" applyAlignment="1">
      <alignment horizontal="center" wrapText="1"/>
    </xf>
    <xf numFmtId="0" fontId="2" fillId="0" borderId="0" xfId="0" applyFont="1" applyAlignment="1">
      <alignment horizontal="center" wrapText="1"/>
    </xf>
    <xf numFmtId="0" fontId="4" fillId="0" borderId="0" xfId="0" applyFont="1" applyAlignment="1">
      <alignment horizontal="left"/>
    </xf>
    <xf numFmtId="0" fontId="4" fillId="0" borderId="0" xfId="8" applyNumberFormat="1" applyFont="1" applyFill="1" applyAlignment="1" applyProtection="1">
      <alignment horizontal="left"/>
    </xf>
    <xf numFmtId="0" fontId="4" fillId="0" borderId="10" xfId="13" applyFont="1" applyFill="1" applyBorder="1" applyAlignment="1" applyProtection="1">
      <alignment horizontal="left"/>
      <protection locked="0"/>
    </xf>
    <xf numFmtId="0" fontId="4" fillId="2" borderId="0" xfId="13" applyFont="1" applyAlignment="1">
      <alignment horizontal="left" wrapText="1"/>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0" quotePrefix="1" applyFont="1" applyAlignment="1">
      <alignment horizontal="left" wrapText="1"/>
    </xf>
    <xf numFmtId="0" fontId="4" fillId="0" borderId="0" xfId="13" applyFont="1" applyFill="1" applyAlignment="1">
      <alignment horizontal="left"/>
    </xf>
    <xf numFmtId="0" fontId="0" fillId="0" borderId="0" xfId="0" applyAlignment="1">
      <alignment wrapText="1"/>
    </xf>
    <xf numFmtId="0" fontId="66" fillId="0" borderId="0" xfId="0" applyFont="1" applyAlignment="1">
      <alignment horizontal="center" wrapText="1"/>
    </xf>
    <xf numFmtId="0" fontId="10" fillId="0" borderId="30" xfId="0" applyFont="1" applyBorder="1"/>
    <xf numFmtId="0" fontId="10" fillId="0" borderId="1" xfId="0" applyFont="1" applyBorder="1"/>
    <xf numFmtId="0" fontId="9" fillId="0" borderId="4" xfId="0" applyFont="1" applyBorder="1" applyAlignment="1">
      <alignment horizontal="center" vertical="center" wrapText="1"/>
    </xf>
    <xf numFmtId="0" fontId="9" fillId="0" borderId="4" xfId="0" applyFont="1" applyBorder="1" applyAlignment="1">
      <alignment horizontal="center" vertical="center"/>
    </xf>
    <xf numFmtId="0" fontId="9" fillId="0" borderId="25" xfId="0" applyFont="1" applyBorder="1"/>
    <xf numFmtId="0" fontId="9" fillId="0" borderId="0" xfId="0" applyFont="1"/>
    <xf numFmtId="0" fontId="78" fillId="0" borderId="0" xfId="13" applyFont="1" applyFill="1" applyAlignment="1">
      <alignment horizontal="center" wrapText="1"/>
    </xf>
    <xf numFmtId="37" fontId="13" fillId="0" borderId="46" xfId="14" applyNumberFormat="1" applyFont="1" applyFill="1" applyBorder="1" applyAlignment="1">
      <alignment horizontal="center"/>
    </xf>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15" fillId="2" borderId="0" xfId="13" applyFont="1" applyAlignment="1">
      <alignment horizontal="center" wrapText="1"/>
    </xf>
    <xf numFmtId="0" fontId="15" fillId="2" borderId="4" xfId="13" applyFont="1" applyBorder="1" applyAlignment="1">
      <alignment horizontal="center" wrapText="1"/>
    </xf>
    <xf numFmtId="0" fontId="15" fillId="0" borderId="10" xfId="0" quotePrefix="1" applyFont="1" applyBorder="1" applyAlignment="1" applyProtection="1">
      <alignment horizontal="center"/>
      <protection locked="0"/>
    </xf>
    <xf numFmtId="0" fontId="0" fillId="0" borderId="10" xfId="0" applyBorder="1" applyAlignment="1" applyProtection="1">
      <alignment horizontal="center"/>
      <protection locked="0"/>
    </xf>
    <xf numFmtId="37" fontId="13" fillId="2" borderId="28" xfId="14" applyNumberFormat="1" applyFont="1" applyBorder="1" applyAlignment="1">
      <alignment horizontal="left" wrapText="1"/>
    </xf>
    <xf numFmtId="37" fontId="13" fillId="2" borderId="0" xfId="14" applyNumberFormat="1" applyFont="1" applyAlignment="1">
      <alignment horizontal="left" wrapText="1"/>
    </xf>
    <xf numFmtId="37" fontId="13" fillId="2" borderId="51" xfId="14" applyNumberFormat="1" applyFont="1" applyBorder="1" applyAlignment="1">
      <alignment horizontal="left" wrapText="1"/>
    </xf>
    <xf numFmtId="37" fontId="13" fillId="2" borderId="10" xfId="14" applyNumberFormat="1" applyFont="1" applyBorder="1" applyAlignment="1">
      <alignment horizontal="left" wrapText="1"/>
    </xf>
    <xf numFmtId="37" fontId="13" fillId="2" borderId="54" xfId="14" applyNumberFormat="1" applyFont="1" applyBorder="1" applyAlignment="1">
      <alignment horizontal="center" vertical="center"/>
    </xf>
    <xf numFmtId="37" fontId="13" fillId="2" borderId="11" xfId="14" applyNumberFormat="1" applyFont="1" applyBorder="1" applyAlignment="1">
      <alignment horizontal="center" vertical="center"/>
    </xf>
    <xf numFmtId="37" fontId="13" fillId="2" borderId="28" xfId="14" applyNumberFormat="1" applyFont="1" applyBorder="1" applyAlignment="1">
      <alignment horizontal="left" vertical="center" wrapText="1"/>
    </xf>
    <xf numFmtId="37" fontId="13" fillId="2" borderId="0" xfId="14" applyNumberFormat="1" applyFont="1" applyAlignment="1">
      <alignment horizontal="left" vertical="center" wrapText="1"/>
    </xf>
    <xf numFmtId="37" fontId="13" fillId="2" borderId="20" xfId="14" applyNumberFormat="1" applyFont="1" applyBorder="1" applyAlignment="1">
      <alignment horizontal="center"/>
    </xf>
    <xf numFmtId="0" fontId="6" fillId="2" borderId="20" xfId="14" applyFont="1" applyBorder="1" applyAlignment="1">
      <alignment horizontal="left" vertical="top" wrapText="1"/>
    </xf>
    <xf numFmtId="0" fontId="6" fillId="2" borderId="35" xfId="14" applyFont="1" applyBorder="1" applyAlignment="1">
      <alignment horizontal="left" vertical="top" wrapText="1"/>
    </xf>
    <xf numFmtId="0" fontId="6" fillId="2" borderId="0" xfId="14" applyFont="1" applyAlignment="1">
      <alignment horizontal="left" vertical="top" wrapText="1"/>
    </xf>
    <xf numFmtId="0" fontId="6" fillId="2" borderId="49" xfId="14" applyFont="1" applyBorder="1" applyAlignment="1">
      <alignment horizontal="left" vertical="top" wrapText="1"/>
    </xf>
    <xf numFmtId="0" fontId="6" fillId="2" borderId="28" xfId="14" applyFont="1" applyBorder="1" applyAlignment="1">
      <alignment horizontal="left" vertical="top" wrapText="1"/>
    </xf>
    <xf numFmtId="0" fontId="6" fillId="2" borderId="51" xfId="14" applyFont="1" applyBorder="1" applyAlignment="1">
      <alignment horizontal="left" vertical="top" wrapText="1"/>
    </xf>
    <xf numFmtId="0" fontId="6" fillId="2" borderId="10" xfId="14" applyFont="1" applyBorder="1" applyAlignment="1">
      <alignment horizontal="left" vertical="top" wrapText="1"/>
    </xf>
    <xf numFmtId="0" fontId="6" fillId="2" borderId="52" xfId="14" applyFont="1" applyBorder="1" applyAlignment="1">
      <alignment horizontal="left" vertical="top" wrapText="1"/>
    </xf>
    <xf numFmtId="0" fontId="15" fillId="0" borderId="0" xfId="13" applyFont="1" applyFill="1" applyAlignment="1">
      <alignment horizontal="center" wrapText="1"/>
    </xf>
    <xf numFmtId="0" fontId="15" fillId="0" borderId="4" xfId="13" applyFont="1" applyFill="1" applyBorder="1" applyAlignment="1">
      <alignment horizontal="center" wrapText="1"/>
    </xf>
    <xf numFmtId="0" fontId="15" fillId="2" borderId="35" xfId="13" applyFont="1" applyBorder="1" applyAlignment="1">
      <alignment horizontal="center" wrapText="1"/>
    </xf>
    <xf numFmtId="0" fontId="15" fillId="2" borderId="47" xfId="13" applyFont="1" applyBorder="1" applyAlignment="1">
      <alignment horizontal="center" wrapText="1"/>
    </xf>
    <xf numFmtId="0" fontId="15" fillId="0" borderId="0" xfId="14" applyFont="1" applyFill="1" applyAlignment="1">
      <alignment horizontal="left"/>
    </xf>
    <xf numFmtId="0" fontId="15" fillId="0" borderId="10" xfId="14" applyFont="1" applyFill="1" applyBorder="1" applyAlignment="1" applyProtection="1">
      <alignment horizontal="center"/>
      <protection locked="0"/>
    </xf>
    <xf numFmtId="0" fontId="15" fillId="0" borderId="0" xfId="0" applyFont="1"/>
    <xf numFmtId="0" fontId="6" fillId="2" borderId="10" xfId="14" applyFont="1" applyBorder="1" applyAlignment="1" applyProtection="1">
      <alignment horizontal="center"/>
      <protection locked="0"/>
    </xf>
    <xf numFmtId="0" fontId="78" fillId="2" borderId="0" xfId="14" applyFont="1" applyAlignment="1">
      <alignment horizontal="center" wrapText="1"/>
    </xf>
    <xf numFmtId="0" fontId="15" fillId="0" borderId="0" xfId="0" applyFont="1" applyAlignment="1">
      <alignment horizontal="center"/>
    </xf>
    <xf numFmtId="0" fontId="0" fillId="0" borderId="0" xfId="0" applyAlignment="1">
      <alignment horizontal="center"/>
    </xf>
    <xf numFmtId="0" fontId="6" fillId="0" borderId="0" xfId="15" applyFont="1" applyFill="1" applyAlignment="1">
      <alignment horizontal="left" wrapText="1"/>
    </xf>
    <xf numFmtId="0" fontId="6" fillId="0" borderId="10" xfId="15" applyFont="1" applyFill="1" applyBorder="1" applyAlignment="1">
      <alignment horizontal="left" wrapText="1"/>
    </xf>
    <xf numFmtId="49" fontId="6" fillId="2" borderId="10" xfId="15" applyNumberFormat="1" applyFont="1" applyBorder="1" applyAlignment="1">
      <alignment horizontal="center"/>
    </xf>
    <xf numFmtId="0" fontId="6" fillId="2" borderId="10" xfId="14" applyFont="1" applyBorder="1" applyAlignment="1">
      <alignment horizontal="center"/>
    </xf>
    <xf numFmtId="37" fontId="13" fillId="0" borderId="0" xfId="15" applyNumberFormat="1" applyFont="1" applyFill="1" applyAlignment="1">
      <alignment horizontal="left" vertical="top"/>
    </xf>
    <xf numFmtId="37" fontId="14" fillId="0" borderId="7" xfId="15" applyNumberFormat="1" applyFont="1" applyFill="1" applyBorder="1" applyAlignment="1">
      <alignment horizontal="center"/>
    </xf>
    <xf numFmtId="0" fontId="0" fillId="0" borderId="7" xfId="0" applyBorder="1" applyAlignment="1">
      <alignment horizontal="center"/>
    </xf>
    <xf numFmtId="37" fontId="13" fillId="2" borderId="38" xfId="15" applyNumberFormat="1" applyFont="1" applyBorder="1" applyAlignment="1">
      <alignment horizontal="center"/>
    </xf>
    <xf numFmtId="0" fontId="0" fillId="0" borderId="33" xfId="0" applyBorder="1"/>
    <xf numFmtId="0" fontId="91" fillId="0" borderId="0" xfId="15" applyFont="1" applyFill="1" applyAlignment="1">
      <alignment horizontal="center" vertical="center" wrapText="1"/>
    </xf>
    <xf numFmtId="0" fontId="15" fillId="0" borderId="38" xfId="15" applyFont="1" applyFill="1" applyBorder="1" applyAlignment="1">
      <alignment horizontal="center"/>
    </xf>
    <xf numFmtId="0" fontId="15" fillId="0" borderId="37" xfId="15" applyFont="1" applyFill="1" applyBorder="1" applyAlignment="1">
      <alignment horizontal="center"/>
    </xf>
    <xf numFmtId="37" fontId="13" fillId="2" borderId="33" xfId="15" applyNumberFormat="1" applyFont="1" applyBorder="1" applyAlignment="1">
      <alignment horizontal="center"/>
    </xf>
    <xf numFmtId="37" fontId="13" fillId="2" borderId="101" xfId="15" applyNumberFormat="1" applyFont="1" applyBorder="1" applyAlignment="1">
      <alignment horizontal="center"/>
    </xf>
    <xf numFmtId="37" fontId="13" fillId="2" borderId="42" xfId="15" applyNumberFormat="1" applyFont="1" applyBorder="1" applyAlignment="1">
      <alignment horizontal="center"/>
    </xf>
    <xf numFmtId="37" fontId="13" fillId="0" borderId="22" xfId="15" applyNumberFormat="1" applyFont="1" applyFill="1" applyBorder="1" applyAlignment="1">
      <alignment horizontal="center"/>
    </xf>
    <xf numFmtId="37" fontId="13" fillId="0" borderId="7" xfId="15" applyNumberFormat="1" applyFont="1" applyFill="1" applyBorder="1" applyAlignment="1">
      <alignment horizontal="center"/>
    </xf>
    <xf numFmtId="37" fontId="13" fillId="0" borderId="19" xfId="15" applyNumberFormat="1" applyFont="1" applyFill="1" applyBorder="1" applyAlignment="1">
      <alignment horizontal="center"/>
    </xf>
    <xf numFmtId="0" fontId="15" fillId="0" borderId="38" xfId="0" applyFont="1" applyBorder="1" applyAlignment="1">
      <alignment horizontal="center"/>
    </xf>
    <xf numFmtId="0" fontId="15" fillId="0" borderId="37" xfId="0" applyFont="1" applyBorder="1" applyAlignment="1">
      <alignment horizontal="center"/>
    </xf>
    <xf numFmtId="0" fontId="15" fillId="0" borderId="33" xfId="0" applyFont="1" applyBorder="1" applyAlignment="1">
      <alignment horizontal="center"/>
    </xf>
    <xf numFmtId="37" fontId="13" fillId="2" borderId="28" xfId="15" applyNumberFormat="1" applyFont="1" applyBorder="1" applyAlignment="1">
      <alignment horizontal="center"/>
    </xf>
    <xf numFmtId="37" fontId="13" fillId="2" borderId="2" xfId="15" applyNumberFormat="1" applyFont="1" applyBorder="1" applyAlignment="1">
      <alignment horizontal="center"/>
    </xf>
    <xf numFmtId="0" fontId="92" fillId="2" borderId="0" xfId="14" applyFont="1" applyAlignment="1">
      <alignment horizontal="left" vertical="top" wrapText="1"/>
    </xf>
    <xf numFmtId="0" fontId="8"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0" fillId="0" borderId="0" xfId="0" applyFont="1" applyAlignment="1">
      <alignment horizontal="center" wrapText="1"/>
    </xf>
    <xf numFmtId="0" fontId="8" fillId="0" borderId="0" xfId="0" applyFont="1" applyAlignment="1">
      <alignment vertical="top" wrapText="1"/>
    </xf>
    <xf numFmtId="0" fontId="8" fillId="0" borderId="0" xfId="0" applyFont="1" applyAlignment="1">
      <alignment wrapText="1"/>
    </xf>
    <xf numFmtId="0" fontId="8" fillId="0" borderId="0" xfId="0" applyFont="1" applyAlignment="1">
      <alignment horizontal="left" wrapText="1"/>
    </xf>
    <xf numFmtId="0" fontId="8" fillId="0" borderId="0" xfId="0" applyFont="1" applyAlignment="1">
      <alignment horizontal="left" vertical="top"/>
    </xf>
    <xf numFmtId="0" fontId="45" fillId="0" borderId="0" xfId="8" applyFont="1" applyAlignment="1" applyProtection="1">
      <alignment horizontal="left" vertical="top" wrapText="1"/>
    </xf>
    <xf numFmtId="37" fontId="4" fillId="0" borderId="10" xfId="0" applyNumberFormat="1" applyFont="1" applyBorder="1" applyAlignment="1">
      <alignment horizontal="left"/>
    </xf>
    <xf numFmtId="0" fontId="4" fillId="0" borderId="0" xfId="0" applyFont="1" applyAlignment="1">
      <alignment horizontal="right"/>
    </xf>
    <xf numFmtId="37" fontId="63" fillId="0" borderId="10" xfId="22" applyNumberFormat="1" applyFont="1" applyBorder="1" applyAlignment="1">
      <alignment horizontal="right" vertical="center"/>
    </xf>
    <xf numFmtId="37" fontId="88" fillId="0" borderId="10" xfId="22" applyNumberFormat="1" applyFont="1" applyBorder="1" applyAlignment="1">
      <alignment horizontal="right"/>
    </xf>
    <xf numFmtId="37" fontId="9" fillId="0" borderId="0" xfId="22" applyNumberFormat="1" applyFont="1" applyAlignment="1">
      <alignment horizontal="left" vertical="center" wrapText="1"/>
    </xf>
    <xf numFmtId="177" fontId="37" fillId="4" borderId="0" xfId="8" applyNumberFormat="1" applyFont="1" applyFill="1" applyAlignment="1">
      <alignment horizontal="center"/>
      <protection locked="0"/>
    </xf>
    <xf numFmtId="177" fontId="37" fillId="4" borderId="49" xfId="8" applyNumberFormat="1" applyFont="1" applyFill="1" applyBorder="1" applyAlignment="1">
      <alignment horizontal="center"/>
      <protection locked="0"/>
    </xf>
    <xf numFmtId="177" fontId="9" fillId="0" borderId="22" xfId="12" applyFont="1" applyFill="1" applyBorder="1" applyAlignment="1">
      <alignment horizontal="center"/>
    </xf>
    <xf numFmtId="177" fontId="9" fillId="0" borderId="7" xfId="12" applyFont="1" applyFill="1" applyBorder="1" applyAlignment="1">
      <alignment horizontal="center"/>
    </xf>
    <xf numFmtId="177" fontId="9" fillId="0" borderId="19" xfId="12" applyFont="1" applyFill="1" applyBorder="1" applyAlignment="1">
      <alignment horizontal="center"/>
    </xf>
    <xf numFmtId="177" fontId="101" fillId="0" borderId="9" xfId="12" applyFont="1" applyFill="1" applyBorder="1" applyAlignment="1">
      <alignment horizontal="center" wrapText="1"/>
    </xf>
    <xf numFmtId="177" fontId="9" fillId="0" borderId="0" xfId="12" quotePrefix="1" applyFont="1" applyFill="1" applyAlignment="1">
      <alignment horizontal="left"/>
    </xf>
    <xf numFmtId="37" fontId="4" fillId="0" borderId="46" xfId="12" applyNumberFormat="1" applyFont="1" applyFill="1" applyBorder="1" applyAlignment="1" applyProtection="1">
      <alignment horizontal="left" vertical="top" wrapText="1"/>
      <protection locked="0"/>
    </xf>
    <xf numFmtId="37" fontId="4" fillId="0" borderId="20" xfId="12" applyNumberFormat="1" applyFont="1" applyFill="1" applyBorder="1" applyAlignment="1" applyProtection="1">
      <alignment horizontal="left" vertical="top" wrapText="1"/>
      <protection locked="0"/>
    </xf>
    <xf numFmtId="37" fontId="4" fillId="0" borderId="35" xfId="12" applyNumberFormat="1" applyFont="1" applyFill="1" applyBorder="1" applyAlignment="1" applyProtection="1">
      <alignment horizontal="left" vertical="top" wrapText="1"/>
      <protection locked="0"/>
    </xf>
    <xf numFmtId="37" fontId="4" fillId="0" borderId="28" xfId="12" applyNumberFormat="1" applyFont="1" applyFill="1" applyBorder="1" applyAlignment="1" applyProtection="1">
      <alignment horizontal="left" vertical="top" wrapText="1"/>
      <protection locked="0"/>
    </xf>
    <xf numFmtId="37" fontId="4" fillId="0" borderId="0" xfId="12" applyNumberFormat="1" applyFont="1" applyFill="1" applyAlignment="1" applyProtection="1">
      <alignment horizontal="left" vertical="top" wrapText="1"/>
      <protection locked="0"/>
    </xf>
    <xf numFmtId="37" fontId="4" fillId="0" borderId="49" xfId="12" applyNumberFormat="1" applyFont="1" applyFill="1" applyBorder="1" applyAlignment="1" applyProtection="1">
      <alignment horizontal="left" vertical="top" wrapText="1"/>
      <protection locked="0"/>
    </xf>
    <xf numFmtId="37" fontId="4" fillId="0" borderId="51" xfId="12" applyNumberFormat="1" applyFont="1" applyFill="1" applyBorder="1" applyAlignment="1" applyProtection="1">
      <alignment horizontal="left" vertical="top" wrapText="1"/>
      <protection locked="0"/>
    </xf>
    <xf numFmtId="37" fontId="4" fillId="0" borderId="10" xfId="12" applyNumberFormat="1" applyFont="1" applyFill="1" applyBorder="1" applyAlignment="1" applyProtection="1">
      <alignment horizontal="left" vertical="top" wrapText="1"/>
      <protection locked="0"/>
    </xf>
    <xf numFmtId="37" fontId="4" fillId="0" borderId="52" xfId="12" applyNumberFormat="1" applyFont="1" applyFill="1" applyBorder="1" applyAlignment="1" applyProtection="1">
      <alignment horizontal="left" vertical="top" wrapText="1"/>
      <protection locked="0"/>
    </xf>
    <xf numFmtId="177" fontId="101" fillId="0" borderId="22" xfId="12" applyFont="1" applyFill="1" applyBorder="1" applyAlignment="1">
      <alignment horizontal="center" wrapText="1"/>
    </xf>
    <xf numFmtId="177" fontId="101" fillId="0" borderId="7" xfId="12" applyFont="1" applyFill="1" applyBorder="1" applyAlignment="1">
      <alignment horizontal="center" wrapText="1"/>
    </xf>
    <xf numFmtId="177" fontId="101" fillId="0" borderId="98" xfId="12" applyFont="1" applyFill="1" applyBorder="1" applyAlignment="1">
      <alignment horizontal="center" wrapText="1"/>
    </xf>
    <xf numFmtId="177" fontId="101" fillId="0" borderId="99" xfId="12" applyFont="1" applyFill="1" applyBorder="1" applyAlignment="1">
      <alignment horizontal="center" wrapText="1"/>
    </xf>
    <xf numFmtId="177" fontId="101" fillId="0" borderId="23" xfId="12" applyFont="1" applyFill="1" applyBorder="1" applyAlignment="1">
      <alignment horizontal="center" wrapText="1"/>
    </xf>
    <xf numFmtId="177" fontId="101" fillId="0" borderId="17" xfId="12" applyFont="1" applyFill="1" applyBorder="1" applyAlignment="1">
      <alignment horizontal="center" wrapText="1"/>
    </xf>
    <xf numFmtId="0" fontId="8" fillId="12" borderId="22" xfId="0" applyFont="1" applyFill="1" applyBorder="1" applyAlignment="1">
      <alignment horizontal="left" wrapText="1"/>
    </xf>
    <xf numFmtId="0" fontId="8" fillId="12" borderId="7" xfId="0" applyFont="1" applyFill="1" applyBorder="1" applyAlignment="1">
      <alignment horizontal="left" wrapText="1"/>
    </xf>
    <xf numFmtId="0" fontId="8" fillId="12" borderId="19" xfId="0" applyFont="1" applyFill="1" applyBorder="1" applyAlignment="1">
      <alignment horizontal="left" wrapText="1"/>
    </xf>
    <xf numFmtId="0" fontId="8" fillId="0" borderId="4" xfId="8" quotePrefix="1" applyFont="1" applyFill="1" applyBorder="1">
      <protection locked="0"/>
    </xf>
    <xf numFmtId="0" fontId="45" fillId="4" borderId="0" xfId="8" applyFont="1" applyFill="1" applyAlignment="1" applyProtection="1">
      <alignment horizontal="center"/>
    </xf>
    <xf numFmtId="0" fontId="8" fillId="0" borderId="9" xfId="0" applyFont="1" applyBorder="1" applyAlignment="1" applyProtection="1">
      <alignment horizontal="left" vertical="center"/>
      <protection locked="0"/>
    </xf>
    <xf numFmtId="0" fontId="8" fillId="0" borderId="22" xfId="0" applyFont="1" applyBorder="1" applyAlignment="1" applyProtection="1">
      <alignment horizontal="left"/>
      <protection locked="0"/>
    </xf>
    <xf numFmtId="0" fontId="8" fillId="0" borderId="19" xfId="0" applyFont="1" applyBorder="1" applyAlignment="1" applyProtection="1">
      <alignment horizontal="left"/>
      <protection locked="0"/>
    </xf>
    <xf numFmtId="0" fontId="10" fillId="0" borderId="10" xfId="0" applyFont="1" applyBorder="1" applyAlignment="1">
      <alignment horizontal="left"/>
    </xf>
    <xf numFmtId="0" fontId="8" fillId="0" borderId="61" xfId="0" applyFont="1" applyBorder="1" applyAlignment="1">
      <alignment horizontal="left"/>
    </xf>
    <xf numFmtId="0" fontId="7" fillId="0" borderId="0" xfId="0" applyFont="1" applyAlignment="1">
      <alignment horizontal="center"/>
    </xf>
    <xf numFmtId="0" fontId="94" fillId="0" borderId="28" xfId="0" applyFont="1" applyBorder="1" applyAlignment="1">
      <alignment horizontal="left" vertical="top"/>
    </xf>
    <xf numFmtId="0" fontId="94" fillId="0" borderId="0" xfId="0" applyFont="1" applyBorder="1" applyAlignment="1">
      <alignment horizontal="left" vertical="top"/>
    </xf>
    <xf numFmtId="0" fontId="94" fillId="0" borderId="61" xfId="0" applyFont="1" applyBorder="1" applyAlignment="1">
      <alignment horizontal="center" vertical="center" wrapText="1"/>
    </xf>
    <xf numFmtId="0" fontId="94" fillId="0" borderId="0" xfId="0" applyFont="1" applyBorder="1" applyAlignment="1">
      <alignment horizontal="center" vertical="center" wrapText="1"/>
    </xf>
    <xf numFmtId="0" fontId="8" fillId="0" borderId="0" xfId="0" applyFont="1" applyAlignment="1">
      <alignment horizontal="right" wrapText="1"/>
    </xf>
    <xf numFmtId="0" fontId="8" fillId="0" borderId="49" xfId="0" applyFont="1" applyBorder="1" applyAlignment="1">
      <alignment horizontal="right" wrapText="1"/>
    </xf>
    <xf numFmtId="0" fontId="8" fillId="8" borderId="0" xfId="0" applyFont="1" applyFill="1" applyAlignment="1">
      <alignment horizontal="left" vertical="center" wrapText="1"/>
    </xf>
    <xf numFmtId="0" fontId="8" fillId="8" borderId="74" xfId="0" applyFont="1" applyFill="1" applyBorder="1" applyAlignment="1">
      <alignment horizontal="left" vertical="center" wrapText="1"/>
    </xf>
    <xf numFmtId="0" fontId="10" fillId="0" borderId="0" xfId="0" applyFont="1" applyAlignment="1">
      <alignment horizontal="right"/>
    </xf>
    <xf numFmtId="49" fontId="10" fillId="0" borderId="10" xfId="0" applyNumberFormat="1" applyFont="1" applyBorder="1" applyAlignment="1">
      <alignment horizontal="left"/>
    </xf>
    <xf numFmtId="0" fontId="8" fillId="8" borderId="0" xfId="0" applyFont="1" applyFill="1" applyBorder="1" applyAlignment="1">
      <alignment horizontal="left" wrapText="1"/>
    </xf>
    <xf numFmtId="0" fontId="8" fillId="8" borderId="0" xfId="0" applyFont="1" applyFill="1" applyAlignment="1">
      <alignment horizontal="left" wrapText="1"/>
    </xf>
    <xf numFmtId="0" fontId="8" fillId="0" borderId="19" xfId="0" applyFont="1" applyBorder="1" applyAlignment="1">
      <alignment horizontal="left"/>
    </xf>
    <xf numFmtId="0" fontId="55" fillId="0" borderId="9" xfId="0" applyFont="1" applyBorder="1" applyAlignment="1">
      <alignment horizontal="left"/>
    </xf>
    <xf numFmtId="0" fontId="8" fillId="0" borderId="10" xfId="0" applyFont="1" applyBorder="1" applyAlignment="1">
      <alignment horizontal="left" vertical="center" wrapText="1"/>
    </xf>
    <xf numFmtId="0" fontId="92" fillId="0" borderId="28" xfId="13" applyFont="1" applyFill="1" applyBorder="1" applyAlignment="1">
      <alignment horizontal="left" vertical="top" wrapText="1"/>
    </xf>
    <xf numFmtId="0" fontId="92" fillId="0" borderId="0" xfId="13" applyFont="1" applyFill="1" applyAlignment="1">
      <alignment horizontal="left" vertical="top" wrapText="1"/>
    </xf>
    <xf numFmtId="0" fontId="45" fillId="4" borderId="0" xfId="8" applyFont="1" applyFill="1" applyProtection="1"/>
    <xf numFmtId="0" fontId="8" fillId="3" borderId="22" xfId="0" applyFont="1" applyFill="1" applyBorder="1" applyAlignment="1">
      <alignment horizontal="left" vertical="top" wrapText="1"/>
    </xf>
    <xf numFmtId="0" fontId="8" fillId="3" borderId="7" xfId="0" applyFont="1" applyFill="1" applyBorder="1" applyAlignment="1">
      <alignment horizontal="left" vertical="top" wrapText="1"/>
    </xf>
    <xf numFmtId="0" fontId="79" fillId="0" borderId="28" xfId="0" applyFont="1" applyBorder="1" applyAlignment="1">
      <alignment horizontal="center" vertical="center" wrapText="1"/>
    </xf>
    <xf numFmtId="0" fontId="79" fillId="0" borderId="0" xfId="0" applyFont="1" applyAlignment="1">
      <alignment horizontal="center" vertical="center" wrapText="1"/>
    </xf>
    <xf numFmtId="0" fontId="8" fillId="0" borderId="22" xfId="0" applyFont="1" applyBorder="1" applyAlignment="1">
      <alignment horizontal="left" vertical="top" wrapText="1"/>
    </xf>
    <xf numFmtId="0" fontId="8" fillId="0" borderId="7" xfId="0" applyFont="1" applyBorder="1" applyAlignment="1">
      <alignment horizontal="left" vertical="top" wrapText="1"/>
    </xf>
    <xf numFmtId="0" fontId="93" fillId="0" borderId="0" xfId="0" applyFont="1" applyAlignment="1">
      <alignment horizontal="center" vertical="center" wrapText="1"/>
    </xf>
    <xf numFmtId="0" fontId="8" fillId="3" borderId="0" xfId="0" applyFont="1" applyFill="1" applyAlignment="1">
      <alignment horizontal="left" vertical="top" wrapText="1"/>
    </xf>
    <xf numFmtId="0" fontId="8" fillId="3" borderId="10" xfId="0" applyFont="1" applyFill="1" applyBorder="1" applyAlignment="1">
      <alignment horizontal="left" vertical="top" wrapText="1"/>
    </xf>
    <xf numFmtId="0" fontId="8" fillId="0" borderId="0" xfId="21" applyFont="1" applyFill="1" applyAlignment="1">
      <alignment horizontal="left" vertical="top"/>
    </xf>
    <xf numFmtId="0" fontId="8" fillId="0" borderId="19" xfId="0" applyFont="1" applyBorder="1" applyAlignment="1">
      <alignment horizontal="left" vertical="top" wrapText="1"/>
    </xf>
    <xf numFmtId="0" fontId="62" fillId="0" borderId="9" xfId="0" applyFont="1" applyBorder="1" applyAlignment="1">
      <alignment horizontal="left"/>
    </xf>
    <xf numFmtId="0" fontId="8" fillId="12" borderId="22" xfId="0" applyFont="1" applyFill="1" applyBorder="1" applyAlignment="1">
      <alignment horizontal="left"/>
    </xf>
    <xf numFmtId="0" fontId="8" fillId="12" borderId="7" xfId="0" applyFont="1" applyFill="1" applyBorder="1" applyAlignment="1">
      <alignment horizontal="left"/>
    </xf>
    <xf numFmtId="0" fontId="8" fillId="12" borderId="19" xfId="0" applyFont="1" applyFill="1" applyBorder="1" applyAlignment="1">
      <alignment horizontal="left"/>
    </xf>
    <xf numFmtId="0" fontId="8" fillId="0" borderId="22" xfId="0" applyFont="1" applyBorder="1" applyAlignment="1">
      <alignment horizontal="left" vertical="top"/>
    </xf>
    <xf numFmtId="0" fontId="8" fillId="0" borderId="7" xfId="0" applyFont="1" applyBorder="1" applyAlignment="1">
      <alignment horizontal="left" vertical="top"/>
    </xf>
    <xf numFmtId="188" fontId="8" fillId="0" borderId="22" xfId="0" applyNumberFormat="1" applyFont="1" applyBorder="1" applyAlignment="1">
      <alignment horizontal="right"/>
    </xf>
    <xf numFmtId="188" fontId="8" fillId="0" borderId="19" xfId="0" applyNumberFormat="1" applyFont="1" applyBorder="1" applyAlignment="1">
      <alignment horizontal="right"/>
    </xf>
    <xf numFmtId="0" fontId="8" fillId="9" borderId="0" xfId="0" applyFont="1" applyFill="1" applyAlignment="1">
      <alignment horizontal="right"/>
    </xf>
    <xf numFmtId="0" fontId="8" fillId="9" borderId="49" xfId="0" applyFont="1" applyFill="1" applyBorder="1" applyAlignment="1">
      <alignment horizontal="right"/>
    </xf>
    <xf numFmtId="174" fontId="8" fillId="0" borderId="65" xfId="0" applyNumberFormat="1" applyFont="1" applyBorder="1" applyAlignment="1">
      <alignment horizontal="right"/>
    </xf>
    <xf numFmtId="174" fontId="8" fillId="0" borderId="66" xfId="0" applyNumberFormat="1" applyFont="1" applyBorder="1" applyAlignment="1">
      <alignment horizontal="right"/>
    </xf>
    <xf numFmtId="0" fontId="8" fillId="0" borderId="28" xfId="0" applyFont="1" applyBorder="1" applyAlignment="1">
      <alignment horizontal="right"/>
    </xf>
    <xf numFmtId="0" fontId="8" fillId="0" borderId="49" xfId="0" applyFont="1" applyBorder="1" applyAlignment="1">
      <alignment horizontal="right"/>
    </xf>
    <xf numFmtId="174" fontId="8" fillId="0" borderId="51" xfId="0" applyNumberFormat="1" applyFont="1" applyBorder="1" applyAlignment="1">
      <alignment horizontal="right"/>
    </xf>
    <xf numFmtId="174" fontId="8" fillId="0" borderId="52" xfId="0" applyNumberFormat="1" applyFont="1" applyBorder="1" applyAlignment="1">
      <alignment horizontal="right"/>
    </xf>
    <xf numFmtId="169" fontId="8" fillId="9" borderId="63" xfId="0" applyNumberFormat="1" applyFont="1" applyFill="1" applyBorder="1" applyAlignment="1">
      <alignment horizontal="right"/>
    </xf>
    <xf numFmtId="169" fontId="8" fillId="9" borderId="66" xfId="0" applyNumberFormat="1" applyFont="1" applyFill="1" applyBorder="1" applyAlignment="1">
      <alignment horizontal="right"/>
    </xf>
    <xf numFmtId="0" fontId="10" fillId="0" borderId="0" xfId="0" applyFont="1" applyAlignment="1">
      <alignment horizontal="left" wrapText="1"/>
    </xf>
    <xf numFmtId="0" fontId="51" fillId="0" borderId="0" xfId="0" applyFont="1" applyAlignment="1">
      <alignment horizontal="left"/>
    </xf>
    <xf numFmtId="0" fontId="51" fillId="0" borderId="0" xfId="0" applyFont="1" applyAlignment="1">
      <alignment horizontal="left" vertical="top" wrapText="1"/>
    </xf>
    <xf numFmtId="0" fontId="73" fillId="0" borderId="0" xfId="0" applyFont="1" applyAlignment="1">
      <alignment horizontal="center"/>
    </xf>
    <xf numFmtId="49" fontId="10" fillId="0" borderId="46" xfId="0" applyNumberFormat="1" applyFont="1" applyBorder="1" applyAlignment="1">
      <alignment horizontal="center" wrapText="1"/>
    </xf>
    <xf numFmtId="49" fontId="10" fillId="0" borderId="35" xfId="0" applyNumberFormat="1" applyFont="1" applyBorder="1" applyAlignment="1">
      <alignment horizontal="center" wrapText="1"/>
    </xf>
    <xf numFmtId="49" fontId="10" fillId="0" borderId="28" xfId="0" applyNumberFormat="1" applyFont="1" applyBorder="1" applyAlignment="1">
      <alignment horizontal="center" wrapText="1"/>
    </xf>
    <xf numFmtId="49" fontId="10" fillId="0" borderId="49" xfId="0" applyNumberFormat="1" applyFont="1" applyBorder="1" applyAlignment="1">
      <alignment horizontal="center" wrapText="1"/>
    </xf>
    <xf numFmtId="49" fontId="10" fillId="0" borderId="20" xfId="0" applyNumberFormat="1" applyFont="1" applyBorder="1" applyAlignment="1">
      <alignment horizontal="center" wrapText="1"/>
    </xf>
    <xf numFmtId="49" fontId="10" fillId="0" borderId="0" xfId="0" applyNumberFormat="1" applyFont="1" applyAlignment="1">
      <alignment horizontal="center" wrapText="1"/>
    </xf>
    <xf numFmtId="166" fontId="8" fillId="0" borderId="51" xfId="0" applyNumberFormat="1" applyFont="1" applyBorder="1" applyAlignment="1">
      <alignment horizontal="right"/>
    </xf>
    <xf numFmtId="166" fontId="8" fillId="0" borderId="52" xfId="0" applyNumberFormat="1" applyFont="1" applyBorder="1" applyAlignment="1">
      <alignment horizontal="righ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46" xfId="0" applyFont="1" applyBorder="1" applyAlignment="1">
      <alignment horizontal="center"/>
    </xf>
    <xf numFmtId="0" fontId="8" fillId="0" borderId="35" xfId="0" applyFont="1" applyBorder="1" applyAlignment="1">
      <alignment horizontal="center"/>
    </xf>
    <xf numFmtId="178" fontId="8" fillId="0" borderId="65" xfId="0" applyNumberFormat="1" applyFont="1" applyBorder="1" applyAlignment="1">
      <alignment horizontal="right"/>
    </xf>
    <xf numFmtId="178" fontId="8" fillId="0" borderId="66" xfId="0" applyNumberFormat="1" applyFont="1" applyBorder="1" applyAlignment="1">
      <alignment horizontal="right"/>
    </xf>
    <xf numFmtId="188" fontId="8" fillId="0" borderId="51" xfId="0" applyNumberFormat="1" applyFont="1" applyBorder="1" applyAlignment="1">
      <alignment horizontal="right"/>
    </xf>
    <xf numFmtId="188" fontId="8" fillId="0" borderId="52" xfId="0" applyNumberFormat="1" applyFont="1" applyBorder="1" applyAlignment="1">
      <alignment horizontal="right"/>
    </xf>
    <xf numFmtId="169" fontId="8" fillId="0" borderId="63" xfId="0" applyNumberFormat="1" applyFont="1" applyBorder="1" applyAlignment="1">
      <alignment horizontal="right"/>
    </xf>
    <xf numFmtId="169" fontId="8" fillId="0" borderId="66" xfId="0" applyNumberFormat="1" applyFont="1" applyBorder="1" applyAlignment="1">
      <alignment horizontal="right"/>
    </xf>
    <xf numFmtId="0" fontId="10" fillId="0" borderId="0" xfId="0" applyFont="1" applyAlignment="1">
      <alignment horizontal="left"/>
    </xf>
    <xf numFmtId="0" fontId="51" fillId="0" borderId="0" xfId="0" applyFont="1" applyAlignment="1">
      <alignment horizontal="left" wrapText="1"/>
    </xf>
    <xf numFmtId="0" fontId="8" fillId="0" borderId="22" xfId="0" applyFont="1" applyBorder="1" applyAlignment="1">
      <alignment horizontal="center"/>
    </xf>
    <xf numFmtId="0" fontId="8" fillId="0" borderId="7" xfId="0" applyFont="1" applyBorder="1" applyAlignment="1">
      <alignment horizontal="center"/>
    </xf>
    <xf numFmtId="0" fontId="8" fillId="0" borderId="19" xfId="0" applyFont="1" applyBorder="1" applyAlignment="1">
      <alignment horizontal="center"/>
    </xf>
    <xf numFmtId="0" fontId="76" fillId="0" borderId="0" xfId="0" applyFont="1" applyAlignment="1">
      <alignment horizontal="center" vertical="top"/>
    </xf>
    <xf numFmtId="0" fontId="8" fillId="0" borderId="0" xfId="0" applyFont="1" applyBorder="1" applyAlignment="1">
      <alignment horizontal="center"/>
    </xf>
    <xf numFmtId="49" fontId="8" fillId="0" borderId="10" xfId="0" applyNumberFormat="1" applyFont="1" applyBorder="1" applyAlignment="1">
      <alignment horizontal="left"/>
    </xf>
    <xf numFmtId="0" fontId="8" fillId="0" borderId="10" xfId="0" applyFont="1" applyBorder="1" applyAlignment="1">
      <alignment horizontal="left"/>
    </xf>
    <xf numFmtId="0" fontId="8" fillId="0" borderId="10" xfId="0" applyFont="1" applyBorder="1" applyAlignment="1">
      <alignment horizontal="center"/>
    </xf>
    <xf numFmtId="0" fontId="15" fillId="0" borderId="0" xfId="0" applyFont="1" applyBorder="1" applyAlignment="1">
      <alignment horizontal="center" wrapText="1"/>
    </xf>
    <xf numFmtId="0" fontId="15" fillId="0" borderId="63" xfId="0" applyFont="1" applyBorder="1" applyAlignment="1">
      <alignment horizontal="center" wrapText="1"/>
    </xf>
    <xf numFmtId="49" fontId="8" fillId="0" borderId="0" xfId="0" applyNumberFormat="1" applyFont="1" applyBorder="1" applyAlignment="1">
      <alignment horizontal="left"/>
    </xf>
    <xf numFmtId="0" fontId="8" fillId="0" borderId="0" xfId="0" applyFont="1" applyBorder="1" applyAlignment="1">
      <alignment horizontal="left"/>
    </xf>
    <xf numFmtId="0" fontId="6" fillId="0" borderId="0" xfId="0" applyFont="1" applyBorder="1" applyAlignment="1">
      <alignment horizontal="left" vertical="top" wrapText="1"/>
    </xf>
    <xf numFmtId="0" fontId="6" fillId="0" borderId="0" xfId="0" applyFont="1" applyBorder="1" applyAlignment="1">
      <alignment horizontal="left" vertical="center" wrapText="1"/>
    </xf>
    <xf numFmtId="0" fontId="50" fillId="0" borderId="0" xfId="0" applyFont="1" applyAlignment="1">
      <alignment horizontal="left" vertical="center" wrapText="1"/>
    </xf>
    <xf numFmtId="0" fontId="6" fillId="0" borderId="0" xfId="0" applyFont="1" applyAlignment="1">
      <alignment horizontal="left"/>
    </xf>
    <xf numFmtId="0" fontId="39" fillId="0" borderId="23" xfId="0" applyFont="1" applyBorder="1" applyAlignment="1">
      <alignment horizontal="center" vertical="top" wrapText="1"/>
    </xf>
    <xf numFmtId="0" fontId="39" fillId="0" borderId="17" xfId="0" applyFont="1" applyBorder="1" applyAlignment="1">
      <alignment horizontal="center" vertical="top" wrapText="1"/>
    </xf>
    <xf numFmtId="0" fontId="121" fillId="0" borderId="23" xfId="8" applyFont="1" applyBorder="1" applyAlignment="1">
      <alignment horizontal="center" vertical="top"/>
      <protection locked="0"/>
    </xf>
    <xf numFmtId="0" fontId="121" fillId="0" borderId="17" xfId="8" applyFont="1" applyBorder="1" applyAlignment="1">
      <alignment horizontal="center" vertical="top"/>
      <protection locked="0"/>
    </xf>
    <xf numFmtId="0" fontId="39" fillId="0" borderId="23" xfId="0" applyFont="1" applyBorder="1" applyAlignment="1">
      <alignment vertical="top" wrapText="1"/>
    </xf>
    <xf numFmtId="0" fontId="39" fillId="0" borderId="17" xfId="0" applyFont="1" applyBorder="1" applyAlignment="1">
      <alignment vertical="top" wrapText="1"/>
    </xf>
    <xf numFmtId="0" fontId="39" fillId="0" borderId="23" xfId="0" applyFont="1" applyBorder="1" applyAlignment="1">
      <alignment horizontal="left" vertical="top" wrapText="1"/>
    </xf>
    <xf numFmtId="0" fontId="39" fillId="0" borderId="17" xfId="0" applyFont="1" applyBorder="1" applyAlignment="1">
      <alignment horizontal="left" vertical="top" wrapText="1"/>
    </xf>
    <xf numFmtId="0" fontId="39" fillId="0" borderId="23" xfId="0" applyFont="1" applyBorder="1" applyAlignment="1">
      <alignment horizontal="center" vertical="center" wrapText="1"/>
    </xf>
    <xf numFmtId="0" fontId="39" fillId="0" borderId="17" xfId="0" applyFont="1" applyBorder="1" applyAlignment="1">
      <alignment horizontal="center" vertical="center" wrapText="1"/>
    </xf>
  </cellXfs>
  <cellStyles count="31">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2 3 2" xfId="30" xr:uid="{00000000-0005-0000-0000-00001E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33">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ill>
        <patternFill>
          <bgColor rgb="FFFFC000"/>
        </patternFill>
      </fill>
    </dxf>
    <dxf>
      <font>
        <color rgb="FFFF0000"/>
      </font>
    </dxf>
    <dxf>
      <font>
        <color rgb="FFFF0000"/>
      </font>
    </dxf>
    <dxf>
      <font>
        <color rgb="FFFF0000"/>
      </font>
    </dxf>
    <dxf>
      <fill>
        <patternFill>
          <bgColor rgb="FFFFC000"/>
        </patternFill>
      </fill>
    </dxf>
    <dxf>
      <fill>
        <patternFill>
          <bgColor rgb="FFFFC000"/>
        </patternFill>
      </fill>
    </dxf>
    <dxf>
      <font>
        <color rgb="FFFF0000"/>
      </font>
      <fill>
        <patternFill patternType="none"/>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104456</xdr:rowOff>
    </xdr:to>
    <xdr:pic>
      <xdr:nvPicPr>
        <xdr:cNvPr id="347407" name="Picture 1">
          <a:extLst>
            <a:ext uri="{FF2B5EF4-FFF2-40B4-BE49-F238E27FC236}">
              <a16:creationId xmlns:a16="http://schemas.microsoft.com/office/drawing/2014/main" id="{00000000-0008-0000-0100-00000F4D0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1%20Clients/FY27/Stanfield/Budget/2026EXPBUD.xlsx" TargetMode="External"/><Relationship Id="rId1" Type="http://schemas.openxmlformats.org/officeDocument/2006/relationships/externalLinkPath" Target="/1%20Clients/FY27/Stanfield/Budget/2026EXPB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SDFORMS/2027DESEGBUD.xlsm" TargetMode="External"/><Relationship Id="rId1" Type="http://schemas.openxmlformats.org/officeDocument/2006/relationships/externalLinkPath" Target="/SDFORMS/2027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6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9" sheetId="3"/>
      <definedName name="CYTRCL" refersTo="='BSA55'!$E$105"/>
      <definedName name="ExcessTNTLimit" refersTo="='Truth in Tax'!$I$26"/>
      <definedName name="F001Carryforward" refersTo="='Page 1'!$L$43"/>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10Carryforward" refersTo="='Page 3'!$K$15"/>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20ClassSizeRedBudgFY" refersTo="='Page 6'!$J$44"/>
      <definedName name="F020DropPrevProgBudgFY" refersTo="='Page 6'!$J$45"/>
      <definedName name="F020InstrImprProgBudgFY" refersTo="='Page 6'!$J$46"/>
      <definedName name="F020TeachCompIncrBudgFY" refersTo="='Page 6'!$J$4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Personnel" refersTo="='Page 6'!$G$7"/>
      <definedName name="F140150BudgFY" refersTo="='Page 6'!$J$8"/>
      <definedName name="F140150Personnel" refersTo="='Page 6'!$G$8"/>
      <definedName name="F160Personnel" refersTo="='Page 6'!$G$9"/>
      <definedName name="F170180Personnel" refersTo="='Page 6'!$G$10"/>
      <definedName name="F190Personnel" refersTo="='Page 6'!$G$11"/>
      <definedName name="F200BudgFY" refersTo="='Page 6'!$J$12"/>
      <definedName name="F200Personnel" refersTo="='Page 6'!$G$12"/>
      <definedName name="F210BudgFY" refersTo="='Page 6'!$J$13"/>
      <definedName name="F210Personnel" refersTo="='Page 6'!$G$13"/>
      <definedName name="F220Personnel" refersTo="='Page 6'!$G$14"/>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Personnel" refersTo="='Page 6'!$G$20"/>
      <definedName name="F300399OtherPersonnel" refersTo="='Page 6'!$G$25"/>
      <definedName name="F349BudFY" refersTo="='Page 6'!$J$21"/>
      <definedName name="F349Personnel" refersTo="='Page 6'!$G$21"/>
      <definedName name="F353BudgFY" refersTo="='Page 6'!$J$22"/>
      <definedName name="F353Personnel" refersTo="='Page 6'!$G$22"/>
      <definedName name="F374Personnel" refersTo="='Page 6'!$G$23"/>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Personnel" refersTo="='Page 6'!$G$38"/>
      <definedName name="F535BudgFY" refersTo="='Page 6'!$T$15"/>
      <definedName name="F545BudgFY" refersTo="='Page 6'!$T$17"/>
      <definedName name="F580BudgFY" refersTo="='Page 6'!$T$23"/>
      <definedName name="F595BudgFY" refersTo="='Page 6'!$T$26"/>
      <definedName name="F596BudgFY" refersTo="='Page 6'!$T$27"/>
      <definedName name="F597BudgFY" refersTo="='Page 6'!$T$28"/>
      <definedName name="F610BudgFYNewConstruction" refersTo="='Page 5'!$E$24"/>
      <definedName name="F610BudgFYO6150" refersTo="='Page 5'!$E$10"/>
      <definedName name="F610BudgFYO6200" refersTo="='Page 5'!$E$11"/>
      <definedName name="F610BudgFYO6450" refersTo="='Page 5'!$E$12"/>
      <definedName name="F610BudgFYO6710" refersTo="='Page 5'!$E$14"/>
      <definedName name="F610BudgFYO6720" refersTo="='Page 5'!$E$15"/>
      <definedName name="F610BudgFYO6731" refersTo="='Page 5'!$E$16"/>
      <definedName name="F610BudgFYO6734" refersTo="='Page 5'!$E$17"/>
      <definedName name="F610BudgFYO6737" refersTo="='Page 5'!$E$18"/>
      <definedName name="F610BudgFYO6831" refersTo="='Page 5'!$E$19"/>
      <definedName name="F610BudgFYO6841" refersTo="='Page 5'!$E$20"/>
      <definedName name="F610BudgFYOther" refersTo="='Page 5'!$E$25"/>
      <definedName name="F610BudgFYRenovation" refersTo="='Page 5'!$E$23"/>
      <definedName name="F610Carryforward" refersTo="='Page 4'!$L$20"/>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20BudgFYNewConstruction" refersTo="='Page 5'!$K$24"/>
      <definedName name="F620BudgFYO6150" refersTo="='Page 5'!$K$10"/>
      <definedName name="F620BudgFYO6200" refersTo="='Page 5'!$K$11"/>
      <definedName name="F620BudgFYO6450" refersTo="='Page 5'!$K$12"/>
      <definedName name="F620BudgFYO6710" refersTo="='Page 5'!$K$14"/>
      <definedName name="F620BudgFYO6720" refersTo="='Page 5'!$K$15"/>
      <definedName name="F620BudgFYO6731" refersTo="='Page 5'!$K$16"/>
      <definedName name="F620BudgFYO6734" refersTo="='Page 5'!$K$17"/>
      <definedName name="F620BudgFYO6737" refersTo="='Page 5'!$K$18"/>
      <definedName name="F620BudgFYO6831" refersTo="='Page 5'!$K$19"/>
      <definedName name="F620BudgFYO6841" refersTo="='Page 5'!$K$20"/>
      <definedName name="F620BudgFYOther" refersTo="='Page 5'!$K$25"/>
      <definedName name="F620BudgFYRenovation" refersTo="='Page 5'!$K$23"/>
      <definedName name="F620TotalBudgFY" refersTo="='Page 5'!$K$8"/>
      <definedName name="F630BudgFYNewConstruction" refersTo="='Page 5'!$G$24"/>
      <definedName name="F630BudgFYO6150" refersTo="='Page 5'!$G$10"/>
      <definedName name="F630BudgFYO6200" refersTo="='Page 5'!$G$11"/>
      <definedName name="F630BudgFYO6450" refersTo="='Page 5'!$G$12"/>
      <definedName name="F630BudgFYO6710" refersTo="='Page 5'!$G$14"/>
      <definedName name="F630BudgFYO6720" refersTo="='Page 5'!$G$15"/>
      <definedName name="F630BudgFYO6731" refersTo="='Page 5'!$G$16"/>
      <definedName name="F630BudgFYO6734" refersTo="='Page 5'!$G$17"/>
      <definedName name="F630BudgFYO6737" refersTo="='Page 5'!$G$18"/>
      <definedName name="F630BudgFYO6831" refersTo="='Page 5'!$G$19"/>
      <definedName name="F630BudgFYO6841" refersTo="='Page 5'!$G$20"/>
      <definedName name="F630BudgFYOther" refersTo="='Page 5'!$G$25"/>
      <definedName name="F630BudgFYRenovation" refersTo="='Page 5'!$G$23"/>
      <definedName name="F630TotalBudgFY" refersTo="='Page 5'!$G$8"/>
      <definedName name="F639BudgFY" refersTo="='Page 6'!$T$29"/>
      <definedName name="F660BudgFY" refersTo="='Page 6'!$T$31"/>
      <definedName name="F665BudgFY" refersTo="='Page 6'!$T$32"/>
      <definedName name="F695BudgFYNewConstruction" refersTo="='Page 5'!$I$24"/>
      <definedName name="F695BudgFYO6150" refersTo="='Page 5'!$I$10"/>
      <definedName name="F695BudgFYO6200" refersTo="='Page 5'!$I$11"/>
      <definedName name="F695BudgFYO6450" refersTo="='Page 5'!$I$12"/>
      <definedName name="F695BudgFYO6710" refersTo="='Page 5'!$I$14"/>
      <definedName name="F695BudgFYO6720" refersTo="='Page 5'!$I$15"/>
      <definedName name="F695BudgFYO6731" refersTo="='Page 5'!$I$16"/>
      <definedName name="F695BudgFYO6734" refersTo="='Page 5'!$I$17"/>
      <definedName name="F695BudgFYO6737" refersTo="='Page 5'!$I$18"/>
      <definedName name="F695BudgFYO6831" refersTo="='Page 5'!$I$19"/>
      <definedName name="F695BudgFYO6841" refersTo="='Page 5'!$I$20"/>
      <definedName name="F695BudgFYOther" refersTo="='Page 5'!$I$25"/>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8"/>
      <definedName name="IEPTransportCosts" refersTo="='Page 2'!$G$19"/>
      <definedName name="JTEDBudgFY" refersTo="='Page 2'!$G$14"/>
      <definedName name="PerfPayCrryfwd" refersTo="='Page 7'!$J$41"/>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refreshError="1"/>
      <sheetData sheetId="1">
        <row r="6">
          <cell r="K6">
            <v>2025</v>
          </cell>
        </row>
        <row r="8">
          <cell r="G8">
            <v>196968</v>
          </cell>
          <cell r="I8">
            <v>45000</v>
          </cell>
          <cell r="J8">
            <v>200</v>
          </cell>
          <cell r="K8">
            <v>1103445</v>
          </cell>
          <cell r="L8">
            <v>1091042</v>
          </cell>
          <cell r="M8">
            <v>-1.0999999999999999E-2</v>
          </cell>
        </row>
        <row r="10">
          <cell r="G10">
            <v>4000</v>
          </cell>
          <cell r="I10">
            <v>100</v>
          </cell>
          <cell r="K10">
            <v>24200</v>
          </cell>
          <cell r="L10">
            <v>24200</v>
          </cell>
          <cell r="M10">
            <v>0</v>
          </cell>
        </row>
        <row r="11">
          <cell r="I11">
            <v>3500</v>
          </cell>
          <cell r="K11">
            <v>44100</v>
          </cell>
          <cell r="L11">
            <v>44100</v>
          </cell>
          <cell r="M11">
            <v>0</v>
          </cell>
        </row>
        <row r="12">
          <cell r="G12">
            <v>30000</v>
          </cell>
          <cell r="I12">
            <v>5000</v>
          </cell>
          <cell r="J12">
            <v>6000</v>
          </cell>
          <cell r="K12">
            <v>147000</v>
          </cell>
          <cell r="L12">
            <v>147000</v>
          </cell>
          <cell r="M12">
            <v>0</v>
          </cell>
        </row>
        <row r="13">
          <cell r="G13">
            <v>30000</v>
          </cell>
          <cell r="J13">
            <v>1000</v>
          </cell>
          <cell r="K13">
            <v>164700</v>
          </cell>
          <cell r="L13">
            <v>164700</v>
          </cell>
          <cell r="M13">
            <v>0</v>
          </cell>
        </row>
        <row r="14">
          <cell r="G14">
            <v>90000</v>
          </cell>
          <cell r="I14">
            <v>18500</v>
          </cell>
          <cell r="K14">
            <v>528500</v>
          </cell>
          <cell r="L14">
            <v>528500</v>
          </cell>
          <cell r="M14">
            <v>0</v>
          </cell>
        </row>
        <row r="15">
          <cell r="G15">
            <v>81813</v>
          </cell>
          <cell r="I15">
            <v>250000</v>
          </cell>
          <cell r="K15">
            <v>732374</v>
          </cell>
          <cell r="L15">
            <v>732374</v>
          </cell>
          <cell r="M15">
            <v>0</v>
          </cell>
        </row>
        <row r="16">
          <cell r="K16">
            <v>0</v>
          </cell>
          <cell r="L16">
            <v>0</v>
          </cell>
          <cell r="M16">
            <v>0</v>
          </cell>
        </row>
        <row r="17">
          <cell r="I17">
            <v>16000</v>
          </cell>
          <cell r="K17">
            <v>16000</v>
          </cell>
          <cell r="L17">
            <v>16000</v>
          </cell>
          <cell r="M17">
            <v>0</v>
          </cell>
        </row>
        <row r="18">
          <cell r="G18">
            <v>1624</v>
          </cell>
          <cell r="K18">
            <v>9624</v>
          </cell>
          <cell r="L18">
            <v>9624</v>
          </cell>
        </row>
        <row r="19">
          <cell r="G19">
            <v>2000</v>
          </cell>
          <cell r="I19">
            <v>6650</v>
          </cell>
          <cell r="J19">
            <v>200</v>
          </cell>
          <cell r="K19">
            <v>23100</v>
          </cell>
          <cell r="L19">
            <v>23100</v>
          </cell>
        </row>
        <row r="20">
          <cell r="K20">
            <v>0</v>
          </cell>
          <cell r="L20">
            <v>0</v>
          </cell>
          <cell r="M20">
            <v>0</v>
          </cell>
        </row>
        <row r="21">
          <cell r="L21">
            <v>0</v>
          </cell>
        </row>
        <row r="22">
          <cell r="E22">
            <v>0</v>
          </cell>
          <cell r="G22">
            <v>436405</v>
          </cell>
          <cell r="J22">
            <v>18000</v>
          </cell>
          <cell r="M22">
            <v>-4.0000000000000001E-3</v>
          </cell>
        </row>
        <row r="24">
          <cell r="G24">
            <v>70000</v>
          </cell>
          <cell r="I24">
            <v>12000</v>
          </cell>
          <cell r="K24">
            <v>332000</v>
          </cell>
          <cell r="L24">
            <v>332000</v>
          </cell>
          <cell r="M24">
            <v>0</v>
          </cell>
        </row>
        <row r="26">
          <cell r="G26">
            <v>2375</v>
          </cell>
          <cell r="I26">
            <v>100</v>
          </cell>
          <cell r="J26">
            <v>500</v>
          </cell>
          <cell r="L26">
            <v>167975</v>
          </cell>
          <cell r="M26">
            <v>0</v>
          </cell>
        </row>
        <row r="27">
          <cell r="L27">
            <v>155500</v>
          </cell>
          <cell r="M27">
            <v>0</v>
          </cell>
        </row>
        <row r="28">
          <cell r="L28">
            <v>42000</v>
          </cell>
          <cell r="M28">
            <v>0</v>
          </cell>
        </row>
        <row r="29">
          <cell r="L29">
            <v>1400</v>
          </cell>
          <cell r="M29">
            <v>0</v>
          </cell>
        </row>
        <row r="30">
          <cell r="L30">
            <v>0</v>
          </cell>
        </row>
        <row r="31">
          <cell r="L31">
            <v>0</v>
          </cell>
        </row>
        <row r="32">
          <cell r="K32">
            <v>0</v>
          </cell>
          <cell r="L32">
            <v>0</v>
          </cell>
        </row>
        <row r="33">
          <cell r="D33">
            <v>0</v>
          </cell>
          <cell r="L33">
            <v>0</v>
          </cell>
        </row>
        <row r="34">
          <cell r="G34">
            <v>102375</v>
          </cell>
          <cell r="J34">
            <v>2000</v>
          </cell>
        </row>
        <row r="35">
          <cell r="D35">
            <v>0</v>
          </cell>
          <cell r="F35">
            <v>267408</v>
          </cell>
          <cell r="G35">
            <v>78770</v>
          </cell>
          <cell r="L35">
            <v>472678</v>
          </cell>
        </row>
        <row r="37">
          <cell r="D37">
            <v>0</v>
          </cell>
          <cell r="F37">
            <v>0</v>
          </cell>
          <cell r="G37">
            <v>0</v>
          </cell>
          <cell r="J37">
            <v>0</v>
          </cell>
        </row>
        <row r="38">
          <cell r="D38">
            <v>0</v>
          </cell>
          <cell r="L38">
            <v>0</v>
          </cell>
        </row>
        <row r="40">
          <cell r="D40">
            <v>0</v>
          </cell>
          <cell r="E40">
            <v>0</v>
          </cell>
          <cell r="F40">
            <v>0</v>
          </cell>
          <cell r="L40">
            <v>0</v>
          </cell>
        </row>
        <row r="41">
          <cell r="D41">
            <v>0</v>
          </cell>
          <cell r="F41">
            <v>27000</v>
          </cell>
          <cell r="L41">
            <v>37500</v>
          </cell>
        </row>
        <row r="42">
          <cell r="D42">
            <v>0</v>
          </cell>
          <cell r="F42">
            <v>2246343</v>
          </cell>
        </row>
        <row r="43">
          <cell r="L43">
            <v>0</v>
          </cell>
        </row>
        <row r="44">
          <cell r="J44">
            <v>20000</v>
          </cell>
          <cell r="L44">
            <v>3989693</v>
          </cell>
        </row>
      </sheetData>
      <sheetData sheetId="2">
        <row r="7">
          <cell r="G7">
            <v>698875</v>
          </cell>
          <cell r="K7" t="str">
            <v>Expenditures budgeted for audit services</v>
          </cell>
        </row>
        <row r="8">
          <cell r="K8" t="str">
            <v>M&amp;O Fund - Nonfederal</v>
          </cell>
        </row>
        <row r="9">
          <cell r="K9" t="str">
            <v>All Funds - Federal</v>
          </cell>
        </row>
        <row r="12">
          <cell r="K12" t="str">
            <v>FY 2026 Performance Pay (A.R.S. Section 15-920)</v>
          </cell>
        </row>
        <row r="13">
          <cell r="K13" t="str">
            <v>Amount Budgeted in M&amp;O Fund for a Performance Pay Component</v>
          </cell>
        </row>
        <row r="14">
          <cell r="I14" t="str">
            <v/>
          </cell>
        </row>
        <row r="15">
          <cell r="K15" t="str">
            <v>Do not report budgeted amounts for the Performance Pay Component of the Classroom Site Fund on this line.</v>
          </cell>
        </row>
        <row r="16">
          <cell r="G16">
            <v>698875</v>
          </cell>
        </row>
        <row r="18">
          <cell r="K18" t="str">
            <v>Expenditures budgeted in the M&amp;O Fund for food service</v>
          </cell>
        </row>
        <row r="19">
          <cell r="K19" t="str">
            <v>Amount budgeted in M&amp;O for Food Service (Fund 001, Function 3100)</v>
          </cell>
        </row>
        <row r="20">
          <cell r="K20" t="str">
            <v>(This amount will be used to determine district compliance with state matching</v>
          </cell>
        </row>
        <row r="23">
          <cell r="G23">
            <v>18</v>
          </cell>
        </row>
        <row r="24">
          <cell r="G24">
            <v>9</v>
          </cell>
        </row>
      </sheetData>
      <sheetData sheetId="3">
        <row r="6">
          <cell r="K6">
            <v>2314476</v>
          </cell>
        </row>
        <row r="7">
          <cell r="K7">
            <v>0</v>
          </cell>
        </row>
        <row r="8">
          <cell r="J8">
            <v>0</v>
          </cell>
          <cell r="K8">
            <v>0</v>
          </cell>
          <cell r="L8">
            <v>0</v>
          </cell>
          <cell r="M8" t="str">
            <v>3.</v>
          </cell>
        </row>
        <row r="9">
          <cell r="K9">
            <v>0</v>
          </cell>
        </row>
        <row r="10">
          <cell r="K10">
            <v>0</v>
          </cell>
          <cell r="L10">
            <v>0</v>
          </cell>
          <cell r="M10" t="str">
            <v>5.</v>
          </cell>
        </row>
        <row r="11">
          <cell r="K11">
            <v>0</v>
          </cell>
          <cell r="L11">
            <v>0</v>
          </cell>
          <cell r="M11" t="str">
            <v>6.</v>
          </cell>
        </row>
        <row r="12">
          <cell r="J12">
            <v>0</v>
          </cell>
          <cell r="K12">
            <v>0</v>
          </cell>
          <cell r="M12" t="str">
            <v>7.</v>
          </cell>
        </row>
        <row r="13">
          <cell r="J13">
            <v>0</v>
          </cell>
          <cell r="K13">
            <v>0</v>
          </cell>
          <cell r="M13" t="str">
            <v>8.</v>
          </cell>
        </row>
        <row r="14">
          <cell r="E14">
            <v>462895</v>
          </cell>
          <cell r="G14">
            <v>0</v>
          </cell>
          <cell r="I14">
            <v>0</v>
          </cell>
          <cell r="K14">
            <v>2314476</v>
          </cell>
          <cell r="L14">
            <v>0.13800000000000001</v>
          </cell>
          <cell r="M14" t="str">
            <v>9.</v>
          </cell>
        </row>
        <row r="15">
          <cell r="M15" t="str">
            <v>10.</v>
          </cell>
        </row>
        <row r="16">
          <cell r="E16">
            <v>462895</v>
          </cell>
          <cell r="G16">
            <v>0</v>
          </cell>
          <cell r="I16">
            <v>0</v>
          </cell>
          <cell r="J16">
            <v>2033600</v>
          </cell>
          <cell r="K16">
            <v>2314476</v>
          </cell>
          <cell r="L16">
            <v>0.13800000000000001</v>
          </cell>
          <cell r="M16" t="str">
            <v>11.</v>
          </cell>
        </row>
        <row r="17">
          <cell r="L17" t="str">
            <v>The district has budgeted an amount in Fund 010 equal to the Classroom Site Fund Budget Limit as calculated below.</v>
          </cell>
        </row>
        <row r="33">
          <cell r="D33">
            <v>135886</v>
          </cell>
          <cell r="E33" t="str">
            <v/>
          </cell>
        </row>
        <row r="35">
          <cell r="D35">
            <v>49462</v>
          </cell>
        </row>
        <row r="36">
          <cell r="D36">
            <v>367300</v>
          </cell>
        </row>
        <row r="39">
          <cell r="D39">
            <v>2314476</v>
          </cell>
        </row>
      </sheetData>
      <sheetData sheetId="4">
        <row r="6">
          <cell r="K6" t="str">
            <v>FY</v>
          </cell>
        </row>
        <row r="7">
          <cell r="G7">
            <v>6700</v>
          </cell>
          <cell r="I7" t="str">
            <v>6841, 6842, 6843, 6850</v>
          </cell>
          <cell r="K7">
            <v>2025</v>
          </cell>
        </row>
        <row r="8">
          <cell r="K8">
            <v>0</v>
          </cell>
          <cell r="L8">
            <v>0</v>
          </cell>
          <cell r="M8">
            <v>0</v>
          </cell>
        </row>
        <row r="10">
          <cell r="E10">
            <v>72610</v>
          </cell>
          <cell r="G10">
            <v>369</v>
          </cell>
          <cell r="K10">
            <v>44500</v>
          </cell>
          <cell r="L10">
            <v>81332</v>
          </cell>
          <cell r="M10">
            <v>0.82799999999999996</v>
          </cell>
        </row>
        <row r="12">
          <cell r="E12">
            <v>17650</v>
          </cell>
          <cell r="K12">
            <v>30771</v>
          </cell>
          <cell r="L12">
            <v>17650</v>
          </cell>
          <cell r="M12">
            <v>-0.42599999999999999</v>
          </cell>
        </row>
        <row r="13">
          <cell r="G13">
            <v>10000</v>
          </cell>
          <cell r="J13">
            <v>241910</v>
          </cell>
          <cell r="K13">
            <v>138422</v>
          </cell>
          <cell r="L13">
            <v>251910</v>
          </cell>
          <cell r="M13">
            <v>0.82</v>
          </cell>
        </row>
        <row r="14">
          <cell r="K14">
            <v>8458</v>
          </cell>
          <cell r="L14">
            <v>0</v>
          </cell>
          <cell r="M14">
            <v>-1</v>
          </cell>
        </row>
        <row r="15">
          <cell r="K15">
            <v>3429</v>
          </cell>
          <cell r="L15">
            <v>3475</v>
          </cell>
          <cell r="M15">
            <v>1.2999999999999999E-2</v>
          </cell>
        </row>
        <row r="16">
          <cell r="J16">
            <v>5881</v>
          </cell>
          <cell r="K16">
            <v>5881</v>
          </cell>
          <cell r="L16">
            <v>5881</v>
          </cell>
          <cell r="M16">
            <v>0</v>
          </cell>
        </row>
        <row r="17">
          <cell r="K17">
            <v>0</v>
          </cell>
          <cell r="L17">
            <v>0</v>
          </cell>
          <cell r="M17">
            <v>0</v>
          </cell>
        </row>
        <row r="18">
          <cell r="K18">
            <v>0</v>
          </cell>
          <cell r="L18">
            <v>0</v>
          </cell>
        </row>
        <row r="19">
          <cell r="E19">
            <v>90260</v>
          </cell>
          <cell r="G19">
            <v>10369</v>
          </cell>
          <cell r="I19">
            <v>0</v>
          </cell>
          <cell r="J19">
            <v>259619</v>
          </cell>
          <cell r="K19">
            <v>231461</v>
          </cell>
          <cell r="L19">
            <v>360248</v>
          </cell>
        </row>
        <row r="21">
          <cell r="E21">
            <v>90260</v>
          </cell>
          <cell r="G21">
            <v>10369</v>
          </cell>
          <cell r="J21">
            <v>259619</v>
          </cell>
          <cell r="L21">
            <v>360248</v>
          </cell>
        </row>
        <row r="24">
          <cell r="E24" t="str">
            <v>(5)</v>
          </cell>
        </row>
        <row r="31">
          <cell r="E31" t="str">
            <v>(6)</v>
          </cell>
        </row>
        <row r="38">
          <cell r="E38" t="str">
            <v>, principal on leases of</v>
          </cell>
        </row>
        <row r="40">
          <cell r="E40" t="str">
            <v>, interest on leases of</v>
          </cell>
        </row>
      </sheetData>
      <sheetData sheetId="5">
        <row r="7">
          <cell r="G7" t="str">
            <v>Budget FY</v>
          </cell>
          <cell r="I7" t="str">
            <v>Budget FY</v>
          </cell>
          <cell r="K7" t="str">
            <v>Budget FY</v>
          </cell>
        </row>
        <row r="8">
          <cell r="E8">
            <v>360248</v>
          </cell>
          <cell r="J8">
            <v>0</v>
          </cell>
          <cell r="L8" t="str">
            <v>1.</v>
          </cell>
        </row>
        <row r="10">
          <cell r="L10" t="str">
            <v>2.</v>
          </cell>
        </row>
        <row r="11">
          <cell r="L11" t="str">
            <v>3.</v>
          </cell>
        </row>
        <row r="12">
          <cell r="J12">
            <v>0</v>
          </cell>
          <cell r="L12" t="str">
            <v>4.</v>
          </cell>
        </row>
        <row r="13">
          <cell r="L13" t="str">
            <v>5.</v>
          </cell>
        </row>
        <row r="14">
          <cell r="L14" t="str">
            <v>6.</v>
          </cell>
        </row>
        <row r="15">
          <cell r="L15" t="str">
            <v>7.</v>
          </cell>
        </row>
        <row r="16">
          <cell r="E16">
            <v>10369</v>
          </cell>
          <cell r="J16">
            <v>0</v>
          </cell>
          <cell r="L16" t="str">
            <v>8.</v>
          </cell>
        </row>
        <row r="17">
          <cell r="E17">
            <v>0</v>
          </cell>
          <cell r="J17">
            <v>0</v>
          </cell>
          <cell r="L17" t="str">
            <v>9.</v>
          </cell>
        </row>
        <row r="18">
          <cell r="E18">
            <v>0</v>
          </cell>
          <cell r="J18">
            <v>0</v>
          </cell>
          <cell r="L18" t="str">
            <v>10.</v>
          </cell>
        </row>
        <row r="19">
          <cell r="J19">
            <v>0</v>
          </cell>
          <cell r="L19" t="str">
            <v>11.</v>
          </cell>
        </row>
        <row r="20">
          <cell r="L20" t="str">
            <v>12.</v>
          </cell>
        </row>
        <row r="21">
          <cell r="E21">
            <v>10369</v>
          </cell>
          <cell r="G21">
            <v>0</v>
          </cell>
          <cell r="J21">
            <v>0</v>
          </cell>
          <cell r="L21" t="str">
            <v>13.</v>
          </cell>
        </row>
        <row r="24">
          <cell r="L24" t="str">
            <v>15.</v>
          </cell>
        </row>
        <row r="25">
          <cell r="E25">
            <v>10369</v>
          </cell>
        </row>
        <row r="26">
          <cell r="E26">
            <v>10369</v>
          </cell>
          <cell r="G26">
            <v>0</v>
          </cell>
          <cell r="I26">
            <v>0</v>
          </cell>
          <cell r="J26">
            <v>0</v>
          </cell>
          <cell r="L26" t="str">
            <v>17.</v>
          </cell>
        </row>
        <row r="27">
          <cell r="E27" t="str">
            <v/>
          </cell>
        </row>
      </sheetData>
      <sheetData sheetId="6">
        <row r="7">
          <cell r="I7">
            <v>270000</v>
          </cell>
          <cell r="K7" t="str">
            <v>1.</v>
          </cell>
        </row>
        <row r="8">
          <cell r="I8">
            <v>0</v>
          </cell>
          <cell r="J8">
            <v>0</v>
          </cell>
          <cell r="K8" t="str">
            <v>2.</v>
          </cell>
          <cell r="M8" t="str">
            <v>4.</v>
          </cell>
        </row>
        <row r="9">
          <cell r="K9" t="str">
            <v>3.</v>
          </cell>
        </row>
        <row r="10">
          <cell r="I10">
            <v>0</v>
          </cell>
          <cell r="K10" t="str">
            <v>4.</v>
          </cell>
          <cell r="M10" t="str">
            <v>6.</v>
          </cell>
        </row>
        <row r="11">
          <cell r="I11">
            <v>15757</v>
          </cell>
          <cell r="K11" t="str">
            <v>5.</v>
          </cell>
          <cell r="M11" t="str">
            <v>7.</v>
          </cell>
        </row>
        <row r="12">
          <cell r="I12">
            <v>11618</v>
          </cell>
          <cell r="J12">
            <v>11618</v>
          </cell>
          <cell r="K12" t="str">
            <v>6.</v>
          </cell>
          <cell r="M12" t="str">
            <v>8.</v>
          </cell>
        </row>
        <row r="13">
          <cell r="J13">
            <v>0</v>
          </cell>
          <cell r="K13" t="str">
            <v>7.</v>
          </cell>
          <cell r="M13" t="str">
            <v>9.</v>
          </cell>
        </row>
        <row r="14">
          <cell r="I14">
            <v>102488</v>
          </cell>
          <cell r="K14" t="str">
            <v>8.</v>
          </cell>
          <cell r="M14" t="str">
            <v>10.</v>
          </cell>
        </row>
        <row r="15">
          <cell r="I15">
            <v>8686</v>
          </cell>
          <cell r="K15" t="str">
            <v>9.</v>
          </cell>
          <cell r="M15" t="str">
            <v>11.</v>
          </cell>
          <cell r="T15">
            <v>0</v>
          </cell>
        </row>
        <row r="16">
          <cell r="I16">
            <v>0</v>
          </cell>
          <cell r="J16">
            <v>0</v>
          </cell>
          <cell r="K16" t="str">
            <v>10.</v>
          </cell>
          <cell r="M16" t="str">
            <v>12.</v>
          </cell>
        </row>
        <row r="17">
          <cell r="I17">
            <v>0</v>
          </cell>
          <cell r="J17">
            <v>0</v>
          </cell>
          <cell r="K17" t="str">
            <v>11.</v>
          </cell>
          <cell r="M17" t="str">
            <v>13.</v>
          </cell>
          <cell r="T17">
            <v>0</v>
          </cell>
        </row>
        <row r="18">
          <cell r="I18">
            <v>0</v>
          </cell>
          <cell r="J18">
            <v>0</v>
          </cell>
          <cell r="K18" t="str">
            <v>12.</v>
          </cell>
        </row>
        <row r="19">
          <cell r="I19">
            <v>0</v>
          </cell>
          <cell r="J19">
            <v>0</v>
          </cell>
          <cell r="K19" t="str">
            <v>13.</v>
          </cell>
        </row>
        <row r="20">
          <cell r="I20">
            <v>350000</v>
          </cell>
          <cell r="K20" t="str">
            <v>14.</v>
          </cell>
          <cell r="M20" t="str">
            <v>16.</v>
          </cell>
        </row>
        <row r="21">
          <cell r="J21">
            <v>0</v>
          </cell>
        </row>
        <row r="22">
          <cell r="J22">
            <v>0</v>
          </cell>
          <cell r="M22" t="str">
            <v>18.</v>
          </cell>
        </row>
        <row r="23">
          <cell r="K23" t="str">
            <v>17.</v>
          </cell>
          <cell r="M23" t="str">
            <v>19.</v>
          </cell>
          <cell r="T23">
            <v>0</v>
          </cell>
        </row>
        <row r="24">
          <cell r="I24">
            <v>565000</v>
          </cell>
          <cell r="K24" t="str">
            <v>18.</v>
          </cell>
          <cell r="M24" t="str">
            <v>20.</v>
          </cell>
        </row>
        <row r="25">
          <cell r="I25">
            <v>500000</v>
          </cell>
          <cell r="K25" t="str">
            <v>19.</v>
          </cell>
          <cell r="M25" t="str">
            <v>21.</v>
          </cell>
        </row>
        <row r="26">
          <cell r="I26">
            <v>0</v>
          </cell>
          <cell r="M26" t="str">
            <v>22.</v>
          </cell>
          <cell r="T26">
            <v>0</v>
          </cell>
        </row>
        <row r="27">
          <cell r="M27" t="str">
            <v>23.</v>
          </cell>
          <cell r="T27">
            <v>0</v>
          </cell>
        </row>
        <row r="28">
          <cell r="M28" t="str">
            <v>24.</v>
          </cell>
          <cell r="T28">
            <v>0</v>
          </cell>
        </row>
        <row r="29">
          <cell r="M29" t="str">
            <v>25.</v>
          </cell>
          <cell r="T29">
            <v>0</v>
          </cell>
        </row>
        <row r="31">
          <cell r="T31">
            <v>0</v>
          </cell>
        </row>
        <row r="32">
          <cell r="K32" t="str">
            <v>25.</v>
          </cell>
          <cell r="T32">
            <v>0</v>
          </cell>
        </row>
        <row r="33">
          <cell r="F33">
            <v>0</v>
          </cell>
        </row>
        <row r="35">
          <cell r="F35">
            <v>0</v>
          </cell>
          <cell r="T35">
            <v>5700</v>
          </cell>
        </row>
        <row r="36">
          <cell r="F36">
            <v>0</v>
          </cell>
        </row>
        <row r="37">
          <cell r="F37">
            <v>0</v>
          </cell>
        </row>
        <row r="38">
          <cell r="F38">
            <v>0</v>
          </cell>
        </row>
        <row r="39">
          <cell r="F39">
            <v>0</v>
          </cell>
          <cell r="J39">
            <v>0</v>
          </cell>
        </row>
        <row r="40">
          <cell r="F40">
            <v>0</v>
          </cell>
        </row>
        <row r="43">
          <cell r="J43">
            <v>65000</v>
          </cell>
        </row>
        <row r="46">
          <cell r="J46">
            <v>70000</v>
          </cell>
        </row>
      </sheetData>
      <sheetData sheetId="7">
        <row r="7">
          <cell r="J7" t="str">
            <v>Maintenance</v>
          </cell>
        </row>
        <row r="8">
          <cell r="J8" t="str">
            <v>and Operation</v>
          </cell>
          <cell r="M8" t="str">
            <v>Capital Outlay</v>
          </cell>
        </row>
        <row r="10">
          <cell r="G10" t="str">
            <v>$</v>
          </cell>
          <cell r="I10" t="str">
            <v>$</v>
          </cell>
          <cell r="L10" t="str">
            <v>$</v>
          </cell>
          <cell r="M10">
            <v>100000</v>
          </cell>
        </row>
        <row r="14">
          <cell r="G14" t="str">
            <v>$</v>
          </cell>
        </row>
        <row r="15">
          <cell r="G15" t="str">
            <v>$</v>
          </cell>
        </row>
        <row r="17">
          <cell r="G17" t="str">
            <v>$</v>
          </cell>
          <cell r="M17">
            <v>206954</v>
          </cell>
        </row>
        <row r="19">
          <cell r="I19" t="str">
            <v/>
          </cell>
          <cell r="J19">
            <v>353236</v>
          </cell>
        </row>
        <row r="26">
          <cell r="I26" t="str">
            <v/>
          </cell>
        </row>
        <row r="35">
          <cell r="J35">
            <v>175822</v>
          </cell>
        </row>
        <row r="41">
          <cell r="J41">
            <v>0</v>
          </cell>
        </row>
        <row r="58">
          <cell r="J58">
            <v>3989693</v>
          </cell>
        </row>
      </sheetData>
      <sheetData sheetId="8">
        <row r="8">
          <cell r="J8" t="str">
            <v>$</v>
          </cell>
          <cell r="K8">
            <v>231461</v>
          </cell>
        </row>
        <row r="11">
          <cell r="K11">
            <v>231461</v>
          </cell>
        </row>
        <row r="13">
          <cell r="J13" t="str">
            <v>$</v>
          </cell>
          <cell r="K13">
            <v>231461</v>
          </cell>
        </row>
        <row r="14">
          <cell r="K14">
            <v>231461</v>
          </cell>
        </row>
        <row r="16">
          <cell r="J16" t="str">
            <v>$</v>
          </cell>
          <cell r="K16">
            <v>192751</v>
          </cell>
        </row>
        <row r="18">
          <cell r="G18" t="str">
            <v/>
          </cell>
          <cell r="J18" t="str">
            <v>$</v>
          </cell>
          <cell r="K18">
            <v>38710</v>
          </cell>
        </row>
        <row r="19">
          <cell r="J19" t="str">
            <v>$</v>
          </cell>
          <cell r="K19">
            <v>14584</v>
          </cell>
        </row>
        <row r="30">
          <cell r="J30" t="str">
            <v>$</v>
          </cell>
        </row>
        <row r="32">
          <cell r="J32" t="str">
            <v>$</v>
          </cell>
          <cell r="K32">
            <v>360248</v>
          </cell>
        </row>
      </sheetData>
      <sheetData sheetId="9">
        <row r="6">
          <cell r="K6" t="str">
            <v>6800</v>
          </cell>
        </row>
        <row r="8">
          <cell r="L8">
            <v>0</v>
          </cell>
          <cell r="M8">
            <v>0</v>
          </cell>
        </row>
        <row r="10">
          <cell r="L10">
            <v>0</v>
          </cell>
          <cell r="M10">
            <v>0</v>
          </cell>
        </row>
        <row r="11">
          <cell r="L11">
            <v>0</v>
          </cell>
          <cell r="M11">
            <v>0</v>
          </cell>
        </row>
        <row r="12">
          <cell r="L12">
            <v>0</v>
          </cell>
          <cell r="M12">
            <v>0</v>
          </cell>
        </row>
        <row r="13">
          <cell r="L13">
            <v>0</v>
          </cell>
          <cell r="M13">
            <v>0</v>
          </cell>
        </row>
        <row r="14">
          <cell r="L14">
            <v>0</v>
          </cell>
          <cell r="M14">
            <v>0</v>
          </cell>
        </row>
        <row r="15">
          <cell r="L15">
            <v>0</v>
          </cell>
          <cell r="M15">
            <v>0</v>
          </cell>
        </row>
        <row r="16">
          <cell r="L16">
            <v>0</v>
          </cell>
          <cell r="M16">
            <v>0</v>
          </cell>
        </row>
        <row r="17">
          <cell r="L17">
            <v>0</v>
          </cell>
          <cell r="M17">
            <v>0</v>
          </cell>
        </row>
        <row r="18">
          <cell r="E18">
            <v>0</v>
          </cell>
          <cell r="G18">
            <v>0</v>
          </cell>
          <cell r="I18">
            <v>0</v>
          </cell>
          <cell r="K18">
            <v>0</v>
          </cell>
          <cell r="L18">
            <v>0</v>
          </cell>
        </row>
        <row r="20">
          <cell r="L20">
            <v>0</v>
          </cell>
          <cell r="M20">
            <v>0</v>
          </cell>
        </row>
        <row r="22">
          <cell r="M22">
            <v>0</v>
          </cell>
        </row>
        <row r="23">
          <cell r="M23">
            <v>0</v>
          </cell>
        </row>
        <row r="24">
          <cell r="L24">
            <v>0</v>
          </cell>
          <cell r="M24">
            <v>0</v>
          </cell>
        </row>
        <row r="25">
          <cell r="M25">
            <v>0</v>
          </cell>
        </row>
        <row r="26">
          <cell r="L26">
            <v>0</v>
          </cell>
          <cell r="M26">
            <v>0</v>
          </cell>
        </row>
        <row r="27">
          <cell r="L27">
            <v>0</v>
          </cell>
          <cell r="M27">
            <v>0</v>
          </cell>
        </row>
        <row r="28">
          <cell r="L28">
            <v>0</v>
          </cell>
          <cell r="M28">
            <v>0</v>
          </cell>
        </row>
        <row r="29">
          <cell r="L29">
            <v>0</v>
          </cell>
          <cell r="M29">
            <v>0</v>
          </cell>
        </row>
        <row r="30">
          <cell r="E30">
            <v>0</v>
          </cell>
          <cell r="G30">
            <v>0</v>
          </cell>
          <cell r="L30">
            <v>0</v>
          </cell>
        </row>
      </sheetData>
      <sheetData sheetId="10">
        <row r="10">
          <cell r="E10" t="str">
            <v>1. Average salary of all teachers employed in FY 2026 (budget year)</v>
          </cell>
          <cell r="I10">
            <v>44000</v>
          </cell>
        </row>
        <row r="11">
          <cell r="E11" t="str">
            <v>2. Average salary of all teachers employed in FY 2025 (prior year)</v>
          </cell>
          <cell r="I11">
            <v>43500</v>
          </cell>
        </row>
        <row r="12">
          <cell r="E12" t="str">
            <v>3. Increase in average teacher salary from the prior year</v>
          </cell>
          <cell r="I12">
            <v>500</v>
          </cell>
        </row>
        <row r="13">
          <cell r="E13" t="str">
            <v>4. Percentage increase</v>
          </cell>
        </row>
        <row r="15">
          <cell r="E15" t="str">
            <v>Comments on average salary calculation (Optional):</v>
          </cell>
        </row>
        <row r="29">
          <cell r="E29" t="str">
            <v>Other</v>
          </cell>
          <cell r="G29" t="str">
            <v>TOTAL</v>
          </cell>
        </row>
        <row r="30">
          <cell r="E30" t="str">
            <v>Prior FY</v>
          </cell>
          <cell r="G30" t="str">
            <v>Prior FY</v>
          </cell>
        </row>
        <row r="33">
          <cell r="D33">
            <v>1029642</v>
          </cell>
          <cell r="E33">
            <v>61400</v>
          </cell>
          <cell r="F33">
            <v>61400</v>
          </cell>
          <cell r="G33">
            <v>1103445</v>
          </cell>
        </row>
        <row r="35">
          <cell r="D35">
            <v>14000</v>
          </cell>
          <cell r="E35">
            <v>10200</v>
          </cell>
          <cell r="F35">
            <v>10200</v>
          </cell>
          <cell r="G35">
            <v>24200</v>
          </cell>
        </row>
        <row r="36">
          <cell r="D36">
            <v>0</v>
          </cell>
          <cell r="F36">
            <v>44100</v>
          </cell>
          <cell r="G36">
            <v>44100</v>
          </cell>
        </row>
        <row r="37">
          <cell r="D37">
            <v>675000</v>
          </cell>
          <cell r="F37">
            <v>165200</v>
          </cell>
          <cell r="G37">
            <v>840200</v>
          </cell>
        </row>
        <row r="38">
          <cell r="D38">
            <v>307374</v>
          </cell>
          <cell r="E38">
            <v>425000</v>
          </cell>
          <cell r="F38">
            <v>425000</v>
          </cell>
          <cell r="G38">
            <v>732374</v>
          </cell>
        </row>
        <row r="39">
          <cell r="D39">
            <v>0</v>
          </cell>
          <cell r="F39">
            <v>0</v>
          </cell>
        </row>
        <row r="40">
          <cell r="D40">
            <v>0</v>
          </cell>
          <cell r="E40">
            <v>16000</v>
          </cell>
          <cell r="F40">
            <v>16000</v>
          </cell>
        </row>
        <row r="41">
          <cell r="D41">
            <v>9624</v>
          </cell>
          <cell r="E41">
            <v>0</v>
          </cell>
          <cell r="F41">
            <v>0</v>
          </cell>
        </row>
        <row r="42">
          <cell r="D42">
            <v>12700</v>
          </cell>
          <cell r="F42">
            <v>10400</v>
          </cell>
        </row>
        <row r="43">
          <cell r="D43">
            <v>0</v>
          </cell>
          <cell r="F43">
            <v>0</v>
          </cell>
        </row>
        <row r="46">
          <cell r="D46">
            <v>290000</v>
          </cell>
          <cell r="F46">
            <v>42000</v>
          </cell>
        </row>
        <row r="48">
          <cell r="D48">
            <v>12375</v>
          </cell>
          <cell r="F48">
            <v>155600</v>
          </cell>
        </row>
        <row r="49">
          <cell r="D49">
            <v>140000</v>
          </cell>
          <cell r="F49">
            <v>15500</v>
          </cell>
        </row>
        <row r="50">
          <cell r="D50">
            <v>0</v>
          </cell>
          <cell r="F50">
            <v>43400</v>
          </cell>
        </row>
        <row r="51">
          <cell r="D51">
            <v>0</v>
          </cell>
          <cell r="F51">
            <v>0</v>
          </cell>
        </row>
        <row r="52">
          <cell r="D52">
            <v>0</v>
          </cell>
          <cell r="F52">
            <v>0</v>
          </cell>
        </row>
        <row r="53">
          <cell r="D53">
            <v>0</v>
          </cell>
          <cell r="F53">
            <v>0</v>
          </cell>
        </row>
        <row r="55">
          <cell r="D55">
            <v>346178</v>
          </cell>
          <cell r="F55">
            <v>126500</v>
          </cell>
        </row>
        <row r="56">
          <cell r="D56">
            <v>0</v>
          </cell>
          <cell r="F56">
            <v>0</v>
          </cell>
        </row>
        <row r="57">
          <cell r="D57">
            <v>0</v>
          </cell>
          <cell r="F57">
            <v>0</v>
          </cell>
        </row>
        <row r="59">
          <cell r="D59">
            <v>0</v>
          </cell>
          <cell r="F59">
            <v>0</v>
          </cell>
        </row>
        <row r="60">
          <cell r="D60">
            <v>37500</v>
          </cell>
          <cell r="F60">
            <v>0</v>
          </cell>
        </row>
      </sheetData>
      <sheetData sheetId="11">
        <row r="8">
          <cell r="E8">
            <v>0</v>
          </cell>
          <cell r="L8" t="str">
            <v>526  Extracurricular Activities Fees Tax Credit</v>
          </cell>
          <cell r="M8">
            <v>35000</v>
          </cell>
        </row>
        <row r="10">
          <cell r="E10">
            <v>280876</v>
          </cell>
          <cell r="L10" t="str">
            <v>535  Career &amp; Technical Education Projects</v>
          </cell>
          <cell r="M10">
            <v>0</v>
          </cell>
        </row>
        <row r="11">
          <cell r="E11">
            <v>0</v>
          </cell>
          <cell r="L11" t="str">
            <v>540  Fingerprint</v>
          </cell>
          <cell r="M11">
            <v>2000</v>
          </cell>
        </row>
        <row r="12">
          <cell r="E12">
            <v>0</v>
          </cell>
          <cell r="L12" t="str">
            <v>545  School Opening</v>
          </cell>
          <cell r="M12">
            <v>0</v>
          </cell>
        </row>
        <row r="13">
          <cell r="E13">
            <v>128787</v>
          </cell>
          <cell r="L13" t="str">
            <v>550  Insurance Proceeds</v>
          </cell>
          <cell r="M13">
            <v>43000</v>
          </cell>
        </row>
        <row r="14">
          <cell r="E14">
            <v>0</v>
          </cell>
          <cell r="L14" t="str">
            <v>555  Textbooks</v>
          </cell>
          <cell r="M14">
            <v>12500</v>
          </cell>
        </row>
        <row r="15">
          <cell r="E15">
            <v>0</v>
          </cell>
          <cell r="L15" t="str">
            <v>565  Litigation Recovery</v>
          </cell>
          <cell r="M15">
            <v>62000</v>
          </cell>
        </row>
        <row r="16">
          <cell r="E16">
            <v>0</v>
          </cell>
          <cell r="G16" t="str">
            <v/>
          </cell>
          <cell r="L16" t="str">
            <v>570  Indirect Costs</v>
          </cell>
          <cell r="M16">
            <v>150000</v>
          </cell>
        </row>
        <row r="17">
          <cell r="E17">
            <v>0</v>
          </cell>
          <cell r="L17" t="str">
            <v>575  Unemployment Insurance</v>
          </cell>
          <cell r="M17">
            <v>100</v>
          </cell>
        </row>
        <row r="18">
          <cell r="E18">
            <v>0</v>
          </cell>
          <cell r="L18" t="str">
            <v>580  Teacherage</v>
          </cell>
        </row>
        <row r="19">
          <cell r="E19">
            <v>0</v>
          </cell>
          <cell r="L19" t="str">
            <v>585  Insurance Refund</v>
          </cell>
        </row>
        <row r="20">
          <cell r="E20">
            <v>0</v>
          </cell>
          <cell r="L20" t="str">
            <v>590  Grants and Gifts to Teachers</v>
          </cell>
          <cell r="M20">
            <v>100</v>
          </cell>
        </row>
        <row r="21">
          <cell r="E21">
            <v>0</v>
          </cell>
          <cell r="L21" t="str">
            <v>595  Advertisement</v>
          </cell>
        </row>
        <row r="22">
          <cell r="M22">
            <v>0</v>
          </cell>
        </row>
        <row r="23">
          <cell r="M23">
            <v>0</v>
          </cell>
        </row>
        <row r="24">
          <cell r="E24" t="str">
            <v>Budget FY</v>
          </cell>
          <cell r="L24" t="str">
            <v>639  Impact Aid Revenue Bond Building</v>
          </cell>
          <cell r="M24">
            <v>0</v>
          </cell>
        </row>
        <row r="25">
          <cell r="E25">
            <v>698875</v>
          </cell>
          <cell r="M25">
            <v>750</v>
          </cell>
        </row>
        <row r="26">
          <cell r="E26">
            <v>0</v>
          </cell>
          <cell r="L26" t="str">
            <v>660  Condemnation</v>
          </cell>
          <cell r="M26">
            <v>0</v>
          </cell>
        </row>
        <row r="27">
          <cell r="E27">
            <v>0</v>
          </cell>
          <cell r="L27" t="str">
            <v>665  Energy and Water Savings</v>
          </cell>
          <cell r="M27">
            <v>0</v>
          </cell>
        </row>
        <row r="28">
          <cell r="E28">
            <v>0</v>
          </cell>
          <cell r="L28" t="str">
            <v>686  Emergency Deficiencies Correction</v>
          </cell>
          <cell r="M28">
            <v>200</v>
          </cell>
        </row>
        <row r="29">
          <cell r="E29">
            <v>0</v>
          </cell>
          <cell r="L29" t="str">
            <v>691  Building Renewal Grant</v>
          </cell>
          <cell r="M29">
            <v>650000</v>
          </cell>
        </row>
        <row r="30">
          <cell r="E30">
            <v>0</v>
          </cell>
          <cell r="L30" t="str">
            <v>720  Impact Aid Revenue Bond Debt Service</v>
          </cell>
        </row>
        <row r="31">
          <cell r="E31">
            <v>0</v>
          </cell>
          <cell r="L31" t="str">
            <v>850  Student Activities</v>
          </cell>
        </row>
        <row r="32">
          <cell r="E32">
            <v>0</v>
          </cell>
          <cell r="L32" t="str">
            <v>Other _____________________________________</v>
          </cell>
        </row>
        <row r="33">
          <cell r="D33">
            <v>698875</v>
          </cell>
          <cell r="E33">
            <v>698875</v>
          </cell>
          <cell r="F33" t="str">
            <v/>
          </cell>
          <cell r="L33" t="str">
            <v>9___ Self-Insurance</v>
          </cell>
        </row>
        <row r="36">
          <cell r="D36" t="str">
            <v>Purchased Services Personnel  FTE</v>
          </cell>
          <cell r="F36" t="str">
            <v>Total FTE</v>
          </cell>
          <cell r="G36" t="str">
            <v>Staff-Pupil Ratio</v>
          </cell>
        </row>
        <row r="38">
          <cell r="E38">
            <v>2</v>
          </cell>
          <cell r="F38">
            <v>2</v>
          </cell>
          <cell r="G38" t="str">
            <v>1  to</v>
          </cell>
        </row>
        <row r="39">
          <cell r="F39">
            <v>24</v>
          </cell>
        </row>
        <row r="40">
          <cell r="F40">
            <v>0</v>
          </cell>
        </row>
        <row r="41">
          <cell r="D41">
            <v>0</v>
          </cell>
          <cell r="E41">
            <v>26</v>
          </cell>
          <cell r="F41">
            <v>26</v>
          </cell>
        </row>
        <row r="43">
          <cell r="F43">
            <v>2</v>
          </cell>
        </row>
        <row r="46">
          <cell r="D46">
            <v>0</v>
          </cell>
          <cell r="F46">
            <v>23</v>
          </cell>
        </row>
        <row r="50">
          <cell r="F50">
            <v>3</v>
          </cell>
        </row>
        <row r="51">
          <cell r="F51">
            <v>6</v>
          </cell>
        </row>
      </sheetData>
      <sheetData sheetId="12">
        <row r="7">
          <cell r="I7">
            <v>0</v>
          </cell>
        </row>
        <row r="8">
          <cell r="K8" t="str">
            <v>Primary property tax rate related to budgeted expenditures</v>
          </cell>
        </row>
        <row r="11">
          <cell r="I11">
            <v>0</v>
          </cell>
          <cell r="L11" t="str">
            <v/>
          </cell>
        </row>
        <row r="12">
          <cell r="I12">
            <v>0</v>
          </cell>
          <cell r="L12" t="str">
            <v/>
          </cell>
        </row>
        <row r="13">
          <cell r="I13">
            <v>0</v>
          </cell>
          <cell r="L13" t="str">
            <v/>
          </cell>
        </row>
        <row r="14">
          <cell r="I14">
            <v>0</v>
          </cell>
          <cell r="L14" t="str">
            <v/>
          </cell>
        </row>
        <row r="18">
          <cell r="G18">
            <v>0</v>
          </cell>
        </row>
        <row r="19">
          <cell r="I19">
            <v>0</v>
          </cell>
        </row>
        <row r="22">
          <cell r="G22">
            <v>0</v>
          </cell>
        </row>
        <row r="24">
          <cell r="I24">
            <v>0</v>
          </cell>
        </row>
        <row r="26">
          <cell r="I26">
            <v>0</v>
          </cell>
        </row>
        <row r="29">
          <cell r="L29" t="str">
            <v/>
          </cell>
        </row>
        <row r="31">
          <cell r="L31" t="str">
            <v/>
          </cell>
        </row>
        <row r="36">
          <cell r="J36" t="str">
            <v>(2)</v>
          </cell>
        </row>
      </sheetData>
      <sheetData sheetId="13" refreshError="1"/>
      <sheetData sheetId="14" refreshError="1"/>
      <sheetData sheetId="15" refreshError="1"/>
      <sheetData sheetId="16">
        <row r="7">
          <cell r="G7">
            <v>0.42120000000000002</v>
          </cell>
          <cell r="I7">
            <v>0</v>
          </cell>
        </row>
        <row r="8">
          <cell r="E8">
            <v>0</v>
          </cell>
          <cell r="G8">
            <v>432.37439999999998</v>
          </cell>
          <cell r="I8">
            <v>0</v>
          </cell>
        </row>
        <row r="9">
          <cell r="G9">
            <v>0</v>
          </cell>
        </row>
        <row r="10">
          <cell r="E10">
            <v>0</v>
          </cell>
        </row>
        <row r="11">
          <cell r="E11">
            <v>325.26190000000003</v>
          </cell>
        </row>
        <row r="12">
          <cell r="G12">
            <v>432.79570000000001</v>
          </cell>
          <cell r="I12">
            <v>0</v>
          </cell>
        </row>
        <row r="16">
          <cell r="E16" t="str">
            <v>AOI-PT 
ADM</v>
          </cell>
          <cell r="G16" t="str">
            <v>Non-AOI 
Weighted ADM</v>
          </cell>
          <cell r="I16" t="str">
            <v>AOI-PT
 Weighted ADM</v>
          </cell>
        </row>
        <row r="17">
          <cell r="E17">
            <v>0</v>
          </cell>
          <cell r="G17">
            <v>9.8554999999999993</v>
          </cell>
          <cell r="I17">
            <v>0</v>
          </cell>
        </row>
        <row r="18">
          <cell r="E18">
            <v>0</v>
          </cell>
          <cell r="G18">
            <v>7.5721999999999996</v>
          </cell>
          <cell r="I18">
            <v>0</v>
          </cell>
        </row>
        <row r="19">
          <cell r="E19">
            <v>0</v>
          </cell>
          <cell r="G19">
            <v>5.0480999999999998</v>
          </cell>
          <cell r="I19">
            <v>0</v>
          </cell>
        </row>
        <row r="20">
          <cell r="E20">
            <v>0</v>
          </cell>
          <cell r="G20">
            <v>0</v>
          </cell>
          <cell r="I20">
            <v>0</v>
          </cell>
        </row>
        <row r="21">
          <cell r="E21">
            <v>0</v>
          </cell>
          <cell r="G21">
            <v>0</v>
          </cell>
        </row>
        <row r="22">
          <cell r="E22">
            <v>0</v>
          </cell>
          <cell r="G22">
            <v>37.005800000000001</v>
          </cell>
        </row>
        <row r="23">
          <cell r="E23">
            <v>0</v>
          </cell>
          <cell r="G23">
            <v>0</v>
          </cell>
        </row>
        <row r="24">
          <cell r="E24">
            <v>0</v>
          </cell>
          <cell r="G24">
            <v>0</v>
          </cell>
          <cell r="I24">
            <v>0</v>
          </cell>
        </row>
        <row r="25">
          <cell r="E25">
            <v>0</v>
          </cell>
          <cell r="G25">
            <v>6.7729999999999997</v>
          </cell>
          <cell r="I25">
            <v>0</v>
          </cell>
        </row>
        <row r="26">
          <cell r="E26">
            <v>0</v>
          </cell>
          <cell r="G26">
            <v>0</v>
          </cell>
          <cell r="I26">
            <v>0</v>
          </cell>
        </row>
        <row r="27">
          <cell r="E27">
            <v>0</v>
          </cell>
        </row>
        <row r="28">
          <cell r="E28">
            <v>0</v>
          </cell>
        </row>
        <row r="29">
          <cell r="E29">
            <v>0</v>
          </cell>
          <cell r="G29">
            <v>0</v>
          </cell>
        </row>
        <row r="30">
          <cell r="E30">
            <v>0</v>
          </cell>
          <cell r="G30">
            <v>0</v>
          </cell>
        </row>
        <row r="31">
          <cell r="E31">
            <v>0</v>
          </cell>
          <cell r="G31">
            <v>6.9598000000000004</v>
          </cell>
        </row>
        <row r="32">
          <cell r="E32">
            <v>0</v>
          </cell>
          <cell r="G32">
            <v>1.7899999999999999E-2</v>
          </cell>
        </row>
        <row r="33">
          <cell r="D33">
            <v>0</v>
          </cell>
          <cell r="E33">
            <v>0</v>
          </cell>
        </row>
        <row r="35">
          <cell r="G35">
            <v>81.5441</v>
          </cell>
        </row>
        <row r="38">
          <cell r="L38" t="str">
            <v>110424000</v>
          </cell>
        </row>
        <row r="39">
          <cell r="D39" t="str">
            <v>Stanfield Elementary School District</v>
          </cell>
        </row>
        <row r="40">
          <cell r="D40" t="str">
            <v>Basic Calculations For Equalization Essistance</v>
          </cell>
        </row>
        <row r="41">
          <cell r="F41" t="str">
            <v>Is Small Isolated School District:</v>
          </cell>
          <cell r="L41" t="str">
            <v>District Page:</v>
          </cell>
        </row>
        <row r="43">
          <cell r="D43" t="str">
            <v>Non-AOI 
ADM</v>
          </cell>
          <cell r="F43" t="str">
            <v>AOI-FT 
ADM</v>
          </cell>
        </row>
        <row r="46">
          <cell r="D46">
            <v>514.33979999999997</v>
          </cell>
          <cell r="F46">
            <v>0</v>
          </cell>
        </row>
        <row r="48">
          <cell r="D48">
            <v>514.33979999999997</v>
          </cell>
          <cell r="F48">
            <v>0</v>
          </cell>
        </row>
        <row r="93">
          <cell r="E93">
            <v>290337.19</v>
          </cell>
        </row>
        <row r="105">
          <cell r="E105">
            <v>828622.62</v>
          </cell>
        </row>
      </sheetData>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istrictwide"/>
      <sheetName val="Template"/>
      <sheetName val="Instructions"/>
      <sheetName val="2027DESEGBUD"/>
      <sheetName val="tst"/>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printerSettings" Target="../printerSettings/printerSettings13.bin"/><Relationship Id="rId4" Type="http://schemas.openxmlformats.org/officeDocument/2006/relationships/hyperlink" Target="../TruthInTaxl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protect.checkpoint.com/v2/r01/___https:/schoolfinancereports.azed.gov/___.YzJ1OmF6Y3JwZWR1c3RhbmZpZWxkZXNkOmM6Z29vZ2xlX21haWxfYXR0YWNobWVudDowYjZkMWE4NWQ1MjBjNTI5NGJkZjAwYzJlZThlOGM1YTo3OmU4NzY6ZmE3OWRhMjlmYzI0ZGVhMjdjMzc4YjZjNmIwZGE1MDNiMzc2OGE4NTYyNGFjYWM1Y2NlZWM1NjQxYzYxMGNhNDpwOlQ6Rg" TargetMode="External"/><Relationship Id="rId3" Type="http://schemas.openxmlformats.org/officeDocument/2006/relationships/hyperlink" Target="https://protect.checkpoint.com/v2/r01/___http:/www.azed.gov/finance/certificates-of-educational-convenience/___.YzJ1OmF6Y3JwZWR1c3RhbmZpZWxkZXNkOmM6Z29vZ2xlX21haWxfYXR0YWNobWVudDowYjZkMWE4NWQ1MjBjNTI5NGJkZjAwYzJlZThlOGM1YTo3OmFkODQ6NWEwYjdhMzJiYWVhNTI1YzlmNTQyNmQ4OWJmMWY3YzkxYmZkNmVhODNlMjM2NmRiYzM1NmRiMWJhZmM4M2E1MTpwOlQ6Rg" TargetMode="External"/><Relationship Id="rId7" Type="http://schemas.openxmlformats.org/officeDocument/2006/relationships/hyperlink" Target="https://protect.checkpoint.com/v2/r01/___http:/www.azed.gov/mowr/___.YzJ1OmF6Y3JwZWR1c3RhbmZpZWxkZXNkOmM6Z29vZ2xlX21haWxfYXR0YWNobWVudDowYjZkMWE4NWQ1MjBjNTI5NGJkZjAwYzJlZThlOGM1YTo3OjA1MGU6MmJiYmNkZmZjN2RlNDRhZWUzOGQwYTlhNGM1N2Y4ZTM2ZjYwYjU3NGE1ODJhN2QyZjA2MWE1Yjc1NjNkZjc4YzpwOlQ6Rg"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s://protect.checkpoint.com/v2/r01/___http:/www.azed.gov/mowr/___.YzJ1OmF6Y3JwZWR1c3RhbmZpZWxkZXNkOmM6Z29vZ2xlX21haWxfYXR0YWNobWVudDowYjZkMWE4NWQ1MjBjNTI5NGJkZjAwYzJlZThlOGM1YTo3OjA1MGU6MmJiYmNkZmZjN2RlNDRhZWUzOGQwYTlhNGM1N2Y4ZTM2ZjYwYjU3NGE1ODJhN2QyZjA2MWE1Yjc1NjNkZjc4YzpwOlQ6Rg" TargetMode="External"/><Relationship Id="rId16" Type="http://schemas.openxmlformats.org/officeDocument/2006/relationships/hyperlink" Target="mailto:SFBudgetTeam@azed.gov" TargetMode="External"/><Relationship Id="rId20" Type="http://schemas.openxmlformats.org/officeDocument/2006/relationships/printerSettings" Target="../printerSettings/printerSettings18.bin"/><Relationship Id="rId1" Type="http://schemas.openxmlformats.org/officeDocument/2006/relationships/hyperlink" Target="mailto:SFPaymentTeam@azed.gov" TargetMode="External"/><Relationship Id="rId6" Type="http://schemas.openxmlformats.org/officeDocument/2006/relationships/hyperlink" Target="https://protect.checkpoint.com/v2/r01/___http:/www.azed.gov/finance/certificates-of-educational-convenience/___.YzJ1OmF6Y3JwZWR1c3RhbmZpZWxkZXNkOmM6Z29vZ2xlX21haWxfYXR0YWNobWVudDowYjZkMWE4NWQ1MjBjNTI5NGJkZjAwYzJlZThlOGM1YTo3OmFkODQ6NWEwYjdhMzJiYWVhNTI1YzlmNTQyNmQ4OWJmMWY3YzkxYmZkNmVhODNlMjM2NmRiYzM1NmRiMWJhZmM4M2E1MTpwOlQ6Rg" TargetMode="External"/><Relationship Id="rId11" Type="http://schemas.openxmlformats.org/officeDocument/2006/relationships/hyperlink" Target="mailto:SFBudgetTeam@azed.gov" TargetMode="External"/><Relationship Id="rId5" Type="http://schemas.openxmlformats.org/officeDocument/2006/relationships/hyperlink" Target="https://protect.checkpoint.com/v2/r01/___https:/schoolfinancereports.azed.gov/___.YzJ1OmF6Y3JwZWR1c3RhbmZpZWxkZXNkOmM6Z29vZ2xlX21haWxfYXR0YWNobWVudDowYjZkMWE4NWQ1MjBjNTI5NGJkZjAwYzJlZThlOGM1YTo3OmU4NzY6ZmE3OWRhMjlmYzI0ZGVhMjdjMzc4YjZjNmIwZGE1MDNiMzc2OGE4NTYyNGFjYWM1Y2NlZWM1NjQxYzYxMGNhNDpwOlQ6Rg" TargetMode="External"/><Relationship Id="rId15" Type="http://schemas.openxmlformats.org/officeDocument/2006/relationships/hyperlink" Target="https://protect.checkpoint.com/v2/r01/___https:/www.azed.gov/sites/default/files/2022/06/MO%20Override%20Estimator%20FY23.xlsm___.YzJ1OmF6Y3JwZWR1c3RhbmZpZWxkZXNkOmM6Z29vZ2xlX21haWxfYXR0YWNobWVudDowYjZkMWE4NWQ1MjBjNTI5NGJkZjAwYzJlZThlOGM1YTo3OjBmNjk6M2IwMDM3OTM2MGMwNWZmMzM5M2JhNDNmMTQwYTA2YTM5ZmM2ZGRlNTYyOWQ4YTE3NDY2Nzk5ZDQwMDNjMWJiMTpwOlQ6Rg" TargetMode="External"/><Relationship Id="rId10" Type="http://schemas.openxmlformats.org/officeDocument/2006/relationships/hyperlink" Target="mailto:SFBudgetTeam@azed.gov" TargetMode="External"/><Relationship Id="rId19" Type="http://schemas.openxmlformats.org/officeDocument/2006/relationships/hyperlink" Target="https://protect.checkpoint.com/v2/r01/___https:/schoolfinancereports.azed.gov/___.YzJ1OmF6Y3JwZWR1c3RhbmZpZWxkZXNkOmM6Z29vZ2xlX21haWxfYXR0YWNobWVudDowYjZkMWE4NWQ1MjBjNTI5NGJkZjAwYzJlZThlOGM1YTo3OmU4NzY6ZmE3OWRhMjlmYzI0ZGVhMjdjMzc4YjZjNmIwZGE1MDNiMzc2OGE4NTYyNGFjYWM1Y2NlZWM1NjQxYzYxMGNhNDpwOlQ6Rg"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56"/>
  <sheetViews>
    <sheetView showGridLines="0" workbookViewId="0">
      <selection activeCell="A10" sqref="A10:I11"/>
    </sheetView>
  </sheetViews>
  <sheetFormatPr defaultColWidth="12.81640625" defaultRowHeight="15.6"/>
  <cols>
    <col min="1" max="1" width="4.81640625" style="97" customWidth="1"/>
    <col min="2" max="2" width="14" style="97" customWidth="1"/>
    <col min="3" max="3" width="9" style="97" customWidth="1"/>
    <col min="4" max="4" width="12.81640625" style="97" customWidth="1"/>
    <col min="5" max="5" width="10" style="97" customWidth="1"/>
    <col min="6" max="6" width="9" style="97" customWidth="1"/>
    <col min="7" max="7" width="9.81640625" style="97" customWidth="1"/>
    <col min="8" max="8" width="10.81640625" style="97" customWidth="1"/>
    <col min="9" max="10" width="2.453125" style="97" customWidth="1"/>
    <col min="11" max="11" width="2.81640625" style="97" customWidth="1"/>
    <col min="12" max="12" width="13.54296875" style="97" customWidth="1"/>
    <col min="13" max="13" width="9.81640625" style="97" customWidth="1"/>
    <col min="14" max="14" width="12.81640625" style="97" customWidth="1"/>
    <col min="15" max="15" width="8.81640625" style="97" customWidth="1"/>
    <col min="16" max="16" width="2.81640625" style="97" customWidth="1"/>
    <col min="17" max="17" width="12.81640625" style="97" customWidth="1"/>
    <col min="18" max="18" width="2.81640625" style="97" customWidth="1"/>
    <col min="19" max="19" width="12.81640625" style="97" customWidth="1"/>
    <col min="20" max="20" width="2.81640625" style="97" customWidth="1"/>
    <col min="21" max="21" width="12.81640625" style="97" customWidth="1"/>
    <col min="22" max="22" width="2.54296875" style="97" customWidth="1"/>
    <col min="23" max="23" width="13" style="97" customWidth="1"/>
    <col min="24" max="29" width="12.81640625" style="97" customWidth="1"/>
    <col min="30" max="16384" width="12.81640625" style="97"/>
  </cols>
  <sheetData>
    <row r="1" spans="1:19">
      <c r="A1" s="96"/>
      <c r="B1" s="1266" t="s">
        <v>0</v>
      </c>
      <c r="C1" s="1565" t="s">
        <v>1400</v>
      </c>
      <c r="D1" s="1566"/>
      <c r="E1" s="1566"/>
      <c r="F1" s="1566"/>
      <c r="G1" s="1266" t="s">
        <v>1</v>
      </c>
      <c r="H1" s="1565" t="s">
        <v>1401</v>
      </c>
      <c r="I1" s="1565"/>
      <c r="J1" s="1565"/>
      <c r="K1" s="1565"/>
      <c r="L1" s="96"/>
      <c r="M1" s="1571" t="s">
        <v>692</v>
      </c>
      <c r="N1" s="1571"/>
      <c r="R1" s="1266" t="s">
        <v>2</v>
      </c>
      <c r="S1" s="26" t="s">
        <v>1402</v>
      </c>
    </row>
    <row r="2" spans="1:19" ht="5.25" customHeight="1">
      <c r="A2" s="96"/>
      <c r="B2" s="96"/>
      <c r="C2" s="96"/>
      <c r="D2" s="96"/>
      <c r="E2" s="96"/>
      <c r="F2" s="96"/>
      <c r="G2" s="96"/>
      <c r="H2" s="96"/>
      <c r="I2" s="99"/>
      <c r="J2" s="96"/>
      <c r="K2" s="99"/>
      <c r="L2" s="96"/>
      <c r="M2" s="96"/>
      <c r="N2" s="96"/>
      <c r="O2" s="96"/>
      <c r="P2" s="96"/>
      <c r="Q2" s="96"/>
      <c r="R2" s="100"/>
    </row>
    <row r="3" spans="1:19">
      <c r="A3" s="96"/>
      <c r="B3" s="96"/>
      <c r="C3" s="96"/>
      <c r="D3" s="1267" t="s">
        <v>3</v>
      </c>
      <c r="E3" s="3">
        <v>2027</v>
      </c>
      <c r="F3" s="96"/>
      <c r="G3" s="96"/>
      <c r="H3" s="96"/>
      <c r="I3" s="96"/>
      <c r="K3" s="1312" t="s">
        <v>4</v>
      </c>
      <c r="L3" s="5"/>
      <c r="M3" s="5"/>
      <c r="N3" s="5"/>
      <c r="O3" s="5"/>
      <c r="P3" s="5"/>
      <c r="Q3" s="5"/>
      <c r="R3" s="5"/>
      <c r="S3" s="5"/>
    </row>
    <row r="4" spans="1:19">
      <c r="A4" s="1588" t="s">
        <v>5</v>
      </c>
      <c r="B4" s="1588"/>
      <c r="C4" s="1588"/>
      <c r="D4" s="1588"/>
      <c r="E4" s="1588"/>
      <c r="F4" s="1588"/>
      <c r="G4" s="1588"/>
      <c r="H4" s="1588"/>
      <c r="I4" s="1597"/>
      <c r="J4" s="101"/>
      <c r="K4" s="1267" t="s">
        <v>6</v>
      </c>
      <c r="L4" s="96" t="s">
        <v>1370</v>
      </c>
      <c r="M4" s="5"/>
      <c r="N4" s="5"/>
      <c r="O4" s="1595">
        <v>6298490</v>
      </c>
      <c r="P4" s="1595"/>
      <c r="Q4" s="5"/>
      <c r="R4" s="5"/>
      <c r="S4" s="96"/>
    </row>
    <row r="5" spans="1:19">
      <c r="A5" s="1588" t="s">
        <v>7</v>
      </c>
      <c r="B5" s="1588"/>
      <c r="C5" s="1588"/>
      <c r="D5" s="1588"/>
      <c r="E5" s="1588"/>
      <c r="F5" s="1588"/>
      <c r="G5" s="1588"/>
      <c r="H5" s="1588"/>
      <c r="I5" s="1597"/>
      <c r="J5" s="101"/>
      <c r="K5" s="1267" t="s">
        <v>8</v>
      </c>
      <c r="L5" s="96" t="s">
        <v>1371</v>
      </c>
      <c r="M5" s="96"/>
      <c r="N5" s="96"/>
      <c r="O5" s="96"/>
      <c r="P5" s="96"/>
      <c r="Q5" s="96"/>
      <c r="R5" s="96"/>
      <c r="S5" s="96"/>
    </row>
    <row r="6" spans="1:19" ht="15.75" customHeight="1">
      <c r="A6" s="1588" t="s">
        <v>9</v>
      </c>
      <c r="B6" s="1588"/>
      <c r="C6" s="1588"/>
      <c r="D6" s="1588"/>
      <c r="E6" s="1588"/>
      <c r="F6" s="1588"/>
      <c r="G6" s="1588"/>
      <c r="H6" s="1588"/>
      <c r="I6" s="1597"/>
      <c r="J6" s="101"/>
      <c r="K6" s="1267"/>
      <c r="L6" s="96" t="s">
        <v>10</v>
      </c>
      <c r="M6" s="1267" t="s">
        <v>11</v>
      </c>
      <c r="N6" s="16"/>
      <c r="O6" s="1596"/>
      <c r="P6" s="1596"/>
      <c r="Q6" s="1596"/>
      <c r="R6" s="1596"/>
      <c r="S6" s="1596"/>
    </row>
    <row r="7" spans="1:19" ht="17.25" customHeight="1">
      <c r="A7" s="96"/>
      <c r="B7" s="96"/>
      <c r="C7" s="96"/>
      <c r="D7" s="96"/>
      <c r="E7" s="96"/>
      <c r="F7" s="96"/>
      <c r="G7" s="96"/>
      <c r="I7" s="96"/>
      <c r="J7" s="101"/>
      <c r="K7" s="1267"/>
      <c r="L7" s="96" t="s">
        <v>12</v>
      </c>
      <c r="M7" s="1267" t="s">
        <v>13</v>
      </c>
      <c r="N7" s="16"/>
      <c r="O7" s="1596"/>
      <c r="P7" s="1596"/>
      <c r="Q7" s="1596"/>
      <c r="R7" s="1596"/>
      <c r="S7" s="1596"/>
    </row>
    <row r="8" spans="1:19" ht="15.75" customHeight="1">
      <c r="A8" s="103"/>
      <c r="B8" s="103"/>
      <c r="C8" s="1586" t="s">
        <v>1403</v>
      </c>
      <c r="D8" s="1586"/>
      <c r="E8" s="1586"/>
      <c r="F8" s="1586"/>
      <c r="G8" s="1586"/>
      <c r="H8" s="103"/>
      <c r="I8" s="103"/>
      <c r="J8" s="101"/>
      <c r="K8" s="1267"/>
      <c r="L8" s="96" t="s">
        <v>14</v>
      </c>
      <c r="M8" s="1267" t="s">
        <v>15</v>
      </c>
      <c r="N8" s="16"/>
      <c r="O8" s="1596" t="str">
        <f>IF(OR('Page 7'!J10&gt;'Page 7'!H10,'Page 7'!J17&gt;'Page 7'!H17),"Please correct error on Page 7","")</f>
        <v/>
      </c>
      <c r="P8" s="1596"/>
      <c r="Q8" s="1596"/>
      <c r="R8" s="1596"/>
      <c r="S8" s="1596"/>
    </row>
    <row r="9" spans="1:19" ht="15.75" customHeight="1">
      <c r="A9" s="5"/>
      <c r="B9" s="5"/>
      <c r="C9" s="1574" t="s">
        <v>16</v>
      </c>
      <c r="D9" s="1574"/>
      <c r="E9" s="1574"/>
      <c r="F9" s="1574"/>
      <c r="G9" s="1574"/>
      <c r="H9" s="5"/>
      <c r="I9" s="4"/>
      <c r="J9" s="101"/>
      <c r="K9" s="1267"/>
      <c r="L9" s="96" t="s">
        <v>17</v>
      </c>
      <c r="M9" s="1267" t="s">
        <v>18</v>
      </c>
      <c r="N9" s="16"/>
      <c r="O9" s="1596" t="str">
        <f>IF('Data Entry'!G16="","Please enter a SIS vendor on the Data Entry tab","")</f>
        <v/>
      </c>
      <c r="P9" s="1596"/>
      <c r="Q9" s="1596"/>
      <c r="R9" s="1596"/>
      <c r="S9" s="1596"/>
    </row>
    <row r="10" spans="1:19" ht="16.2" thickBot="1">
      <c r="A10" s="1599" t="s">
        <v>19</v>
      </c>
      <c r="B10" s="1600"/>
      <c r="C10" s="1600"/>
      <c r="D10" s="1600"/>
      <c r="E10" s="1600"/>
      <c r="F10" s="1600"/>
      <c r="G10" s="1600"/>
      <c r="H10" s="1600"/>
      <c r="I10" s="1601"/>
      <c r="J10" s="101"/>
      <c r="K10" s="1267"/>
      <c r="L10" s="96" t="s">
        <v>20</v>
      </c>
      <c r="M10" s="1267" t="s">
        <v>21</v>
      </c>
      <c r="N10" s="104">
        <f>SUM(N6:N9)</f>
        <v>0</v>
      </c>
      <c r="O10" s="1596"/>
      <c r="P10" s="1596"/>
      <c r="Q10" s="1596"/>
      <c r="R10" s="1596"/>
      <c r="S10" s="1596"/>
    </row>
    <row r="11" spans="1:19" ht="16.2" thickTop="1">
      <c r="A11" s="1600"/>
      <c r="B11" s="1600"/>
      <c r="C11" s="1600"/>
      <c r="D11" s="1600"/>
      <c r="E11" s="1600"/>
      <c r="F11" s="1600"/>
      <c r="G11" s="1600"/>
      <c r="H11" s="1600"/>
      <c r="I11" s="1601"/>
      <c r="J11" s="101"/>
      <c r="K11" s="1267" t="s">
        <v>22</v>
      </c>
      <c r="L11" s="1470" t="s">
        <v>23</v>
      </c>
      <c r="M11" s="106"/>
      <c r="N11" s="106"/>
      <c r="O11" s="106"/>
      <c r="P11" s="106"/>
      <c r="Q11" s="96"/>
      <c r="R11" s="96"/>
      <c r="S11" s="96"/>
    </row>
    <row r="12" spans="1:19" ht="15" customHeight="1">
      <c r="A12" s="1588" t="s">
        <v>1372</v>
      </c>
      <c r="B12" s="1588"/>
      <c r="C12" s="1588"/>
      <c r="D12" s="1588"/>
      <c r="E12" s="1588"/>
      <c r="F12" s="1588"/>
      <c r="G12" s="1588"/>
      <c r="H12" s="1588"/>
      <c r="I12" s="1597"/>
      <c r="J12" s="101"/>
      <c r="K12" s="96"/>
      <c r="L12" s="96"/>
      <c r="M12" s="96"/>
      <c r="N12" s="5" t="s">
        <v>1373</v>
      </c>
      <c r="O12" s="5"/>
      <c r="P12" s="96"/>
      <c r="Q12" s="5" t="s">
        <v>1374</v>
      </c>
      <c r="R12" s="5"/>
      <c r="S12" s="96"/>
    </row>
    <row r="13" spans="1:19">
      <c r="A13" s="96"/>
      <c r="B13" s="96"/>
      <c r="C13" s="3" t="s">
        <v>24</v>
      </c>
      <c r="D13" s="96"/>
      <c r="E13" s="1598" t="s">
        <v>1410</v>
      </c>
      <c r="F13" s="1598"/>
      <c r="G13" s="107" t="str">
        <f>IF(AND(OR(ISNUMBER(SEARCH("Proposed*",C8)),ISNUMBER(SEARCH("Adopted*",C8)),ISNUMBER(SEARCH("Revised*",C8))),E13=""),"Please enter a Proposed Date","")</f>
        <v/>
      </c>
      <c r="H13" s="96"/>
      <c r="I13" s="96"/>
      <c r="J13" s="101"/>
      <c r="K13" s="96"/>
      <c r="L13" s="96" t="s">
        <v>25</v>
      </c>
      <c r="M13" s="96"/>
      <c r="N13" s="18">
        <v>2.2000000000000002</v>
      </c>
      <c r="O13" s="108"/>
      <c r="P13" s="109"/>
      <c r="Q13" s="18">
        <v>2.2000000000000002</v>
      </c>
      <c r="R13" s="108"/>
      <c r="S13" s="1471"/>
    </row>
    <row r="14" spans="1:19">
      <c r="A14" s="96"/>
      <c r="B14" s="96"/>
      <c r="C14" s="3" t="s">
        <v>26</v>
      </c>
      <c r="D14" s="96"/>
      <c r="E14" s="1575"/>
      <c r="F14" s="1575"/>
      <c r="G14" s="107" t="str">
        <f>IF(AND(OR(ISNUMBER(SEARCH("Adopted*",C8)),ISNUMBER(SEARCH("Revised*",C8))),E14=""),"Please enter an Adopted Date","")</f>
        <v/>
      </c>
      <c r="H14" s="96"/>
      <c r="I14" s="96"/>
      <c r="J14" s="101"/>
      <c r="K14" s="96"/>
      <c r="L14" s="96" t="s">
        <v>27</v>
      </c>
      <c r="M14" s="96"/>
      <c r="N14" s="108"/>
      <c r="O14" s="108"/>
      <c r="P14" s="109"/>
      <c r="Q14" s="110"/>
      <c r="R14" s="110"/>
      <c r="S14" s="96"/>
    </row>
    <row r="15" spans="1:19">
      <c r="A15" s="96"/>
      <c r="B15" s="96"/>
      <c r="C15" s="3" t="s">
        <v>28</v>
      </c>
      <c r="D15" s="96"/>
      <c r="E15" s="1575"/>
      <c r="F15" s="1575"/>
      <c r="G15" s="111" t="str">
        <f>IF(AND(ISNUMBER(SEARCH("Revised*",C8)),E15=""),"Please enter a Revised Date","")</f>
        <v/>
      </c>
      <c r="H15" s="96"/>
      <c r="I15" s="96"/>
      <c r="J15" s="101"/>
      <c r="K15" s="96"/>
      <c r="L15" s="96" t="s">
        <v>29</v>
      </c>
      <c r="M15" s="96"/>
      <c r="N15" s="18">
        <v>0.72</v>
      </c>
      <c r="O15" s="108"/>
      <c r="P15" s="109"/>
      <c r="Q15" s="18">
        <v>0.72</v>
      </c>
      <c r="R15" s="108"/>
      <c r="S15" s="96"/>
    </row>
    <row r="16" spans="1:19" ht="15" customHeight="1">
      <c r="A16" s="96"/>
      <c r="B16" s="96"/>
      <c r="E16" s="1574" t="s">
        <v>30</v>
      </c>
      <c r="F16" s="1574"/>
      <c r="G16" s="96"/>
      <c r="H16" s="96"/>
      <c r="I16" s="96"/>
      <c r="J16" s="101"/>
      <c r="K16" s="96"/>
      <c r="L16" s="96" t="s">
        <v>31</v>
      </c>
      <c r="M16" s="96"/>
      <c r="N16" s="17"/>
      <c r="O16" s="108"/>
      <c r="P16" s="109"/>
      <c r="Q16" s="17"/>
      <c r="R16" s="108"/>
      <c r="S16" s="96"/>
    </row>
    <row r="17" spans="1:24" ht="15.75" customHeight="1">
      <c r="A17" s="112"/>
      <c r="B17" s="1572" t="s">
        <v>908</v>
      </c>
      <c r="C17" s="1572"/>
      <c r="D17" s="1572"/>
      <c r="E17" s="1593"/>
      <c r="F17" s="1593"/>
      <c r="G17" s="1593"/>
      <c r="H17" s="1593"/>
      <c r="I17" s="113"/>
      <c r="J17" s="101"/>
      <c r="K17" s="96"/>
      <c r="L17" s="96" t="s">
        <v>32</v>
      </c>
      <c r="M17" s="96"/>
      <c r="N17" s="17"/>
      <c r="O17" s="108"/>
      <c r="P17" s="109"/>
      <c r="Q17" s="17"/>
      <c r="R17" s="108"/>
      <c r="S17" s="96"/>
    </row>
    <row r="18" spans="1:24">
      <c r="A18" s="114"/>
      <c r="B18" s="112"/>
      <c r="C18" s="112"/>
      <c r="D18" s="112"/>
      <c r="E18" s="1594"/>
      <c r="F18" s="1594"/>
      <c r="G18" s="1594"/>
      <c r="H18" s="1594"/>
      <c r="I18" s="113"/>
      <c r="J18" s="101"/>
      <c r="K18" s="96"/>
      <c r="L18" s="3" t="s">
        <v>33</v>
      </c>
      <c r="M18" s="5"/>
      <c r="N18" s="17"/>
      <c r="O18" s="108"/>
      <c r="P18" s="109"/>
      <c r="Q18" s="17"/>
      <c r="R18" s="108"/>
      <c r="S18" s="96"/>
      <c r="W18" s="1563" t="str">
        <f>'Page 8'!L24</f>
        <v/>
      </c>
      <c r="X18" s="1563"/>
    </row>
    <row r="19" spans="1:24">
      <c r="A19" s="96"/>
      <c r="B19" s="96"/>
      <c r="C19" s="1564"/>
      <c r="D19" s="1564"/>
      <c r="E19" s="96"/>
      <c r="F19" s="1564"/>
      <c r="G19" s="1564"/>
      <c r="H19" s="96"/>
      <c r="I19" s="96"/>
      <c r="J19" s="101"/>
      <c r="K19" s="96"/>
      <c r="L19" s="3" t="s">
        <v>34</v>
      </c>
      <c r="M19" s="96"/>
      <c r="N19" s="17"/>
      <c r="O19" s="108"/>
      <c r="P19" s="109"/>
      <c r="Q19" s="17"/>
      <c r="R19" s="108"/>
      <c r="S19" s="96"/>
      <c r="W19" s="1563"/>
      <c r="X19" s="1563"/>
    </row>
    <row r="20" spans="1:24">
      <c r="A20" s="96"/>
      <c r="B20" s="96"/>
      <c r="C20" s="1567"/>
      <c r="D20" s="1567"/>
      <c r="E20" s="96"/>
      <c r="F20" s="1567"/>
      <c r="G20" s="1567"/>
      <c r="H20" s="96"/>
      <c r="I20" s="96"/>
      <c r="J20" s="101"/>
      <c r="K20" s="96"/>
      <c r="L20" s="96" t="s">
        <v>35</v>
      </c>
      <c r="M20" s="96"/>
      <c r="N20" s="18"/>
      <c r="O20" s="108"/>
      <c r="P20" s="96"/>
      <c r="Q20" s="18"/>
      <c r="R20" s="108"/>
      <c r="S20" s="96"/>
      <c r="W20" s="1563"/>
      <c r="X20" s="1563"/>
    </row>
    <row r="21" spans="1:24">
      <c r="A21" s="96"/>
      <c r="B21" s="96"/>
      <c r="C21" s="1567"/>
      <c r="D21" s="1567"/>
      <c r="E21" s="96"/>
      <c r="F21" s="1567"/>
      <c r="G21" s="1567"/>
      <c r="H21" s="96"/>
      <c r="I21" s="96"/>
      <c r="J21" s="101"/>
      <c r="K21" s="96"/>
      <c r="L21" s="96" t="s">
        <v>36</v>
      </c>
      <c r="M21" s="96"/>
      <c r="N21" s="18"/>
      <c r="O21" s="108"/>
      <c r="P21" s="96"/>
      <c r="Q21" s="18"/>
      <c r="R21" s="108"/>
      <c r="S21" s="96"/>
      <c r="W21" s="1563"/>
      <c r="X21" s="1563"/>
    </row>
    <row r="22" spans="1:24" ht="16.2" thickBot="1">
      <c r="A22" s="96"/>
      <c r="B22" s="96"/>
      <c r="C22" s="1567"/>
      <c r="D22" s="1567"/>
      <c r="E22" s="96"/>
      <c r="F22" s="1567"/>
      <c r="G22" s="1567"/>
      <c r="H22" s="96"/>
      <c r="I22" s="96"/>
      <c r="J22" s="101"/>
      <c r="K22" s="96"/>
      <c r="L22" s="96" t="s">
        <v>37</v>
      </c>
      <c r="M22" s="96"/>
      <c r="N22" s="115">
        <f>SUM(N15:N21)</f>
        <v>0.72</v>
      </c>
      <c r="O22" s="108"/>
      <c r="P22" s="96"/>
      <c r="Q22" s="115">
        <f>SUM(Q15:Q21)</f>
        <v>0.72</v>
      </c>
      <c r="R22" s="108"/>
      <c r="S22" s="5"/>
      <c r="W22" s="1563"/>
      <c r="X22" s="1563"/>
    </row>
    <row r="23" spans="1:24" ht="16.2" thickTop="1">
      <c r="A23" s="96"/>
      <c r="B23" s="96"/>
      <c r="C23" s="1567"/>
      <c r="D23" s="1567"/>
      <c r="E23" s="96"/>
      <c r="F23" s="1567"/>
      <c r="G23" s="1567"/>
      <c r="H23" s="96"/>
      <c r="I23" s="96"/>
      <c r="J23" s="101"/>
      <c r="K23" s="116" t="s">
        <v>38</v>
      </c>
      <c r="M23" s="96"/>
      <c r="N23" s="96"/>
      <c r="O23" s="96"/>
      <c r="P23" s="96"/>
      <c r="Q23" s="96"/>
      <c r="R23" s="96"/>
      <c r="S23" s="96"/>
      <c r="W23" s="1563"/>
      <c r="X23" s="1563"/>
    </row>
    <row r="24" spans="1:24">
      <c r="A24" s="96"/>
      <c r="B24" s="96"/>
      <c r="C24" s="1567"/>
      <c r="D24" s="1567"/>
      <c r="E24" s="96"/>
      <c r="F24" s="1567"/>
      <c r="G24" s="1567"/>
      <c r="H24" s="96"/>
      <c r="I24" s="96"/>
      <c r="J24" s="101"/>
      <c r="K24" s="116"/>
      <c r="M24" s="96"/>
      <c r="N24" s="96"/>
      <c r="O24" s="96"/>
      <c r="P24" s="96"/>
      <c r="Q24" s="117" t="s">
        <v>1041</v>
      </c>
      <c r="R24" s="117"/>
      <c r="S24" s="117" t="s">
        <v>1062</v>
      </c>
      <c r="T24" s="117"/>
      <c r="U24" s="117" t="s">
        <v>1063</v>
      </c>
      <c r="W24" s="1563"/>
      <c r="X24" s="1563"/>
    </row>
    <row r="25" spans="1:24">
      <c r="A25" s="96"/>
      <c r="B25" s="96"/>
      <c r="C25" s="1567"/>
      <c r="D25" s="1567"/>
      <c r="E25" s="96"/>
      <c r="F25" s="1567"/>
      <c r="G25" s="1567"/>
      <c r="H25" s="96"/>
      <c r="I25" s="96"/>
      <c r="J25" s="101"/>
      <c r="K25" s="1267" t="s">
        <v>6</v>
      </c>
      <c r="L25" s="96" t="s">
        <v>936</v>
      </c>
      <c r="M25" s="96"/>
      <c r="N25" s="96"/>
      <c r="O25" s="96"/>
      <c r="P25" s="1267" t="s">
        <v>21</v>
      </c>
      <c r="Q25" s="102">
        <f>F001TotalExp</f>
        <v>4020394</v>
      </c>
      <c r="R25" s="1267" t="s">
        <v>21</v>
      </c>
      <c r="S25" s="102">
        <f>F001Carryforward</f>
        <v>503178</v>
      </c>
      <c r="T25" s="1267" t="s">
        <v>21</v>
      </c>
      <c r="U25" s="102">
        <f>GBLBudgFY</f>
        <v>4523572</v>
      </c>
      <c r="V25" s="118" t="str">
        <f>IF((Q25+S25)&gt;U25,"GBL Exceeded","")</f>
        <v/>
      </c>
    </row>
    <row r="26" spans="1:24">
      <c r="A26" s="96"/>
      <c r="B26" s="96"/>
      <c r="C26" s="1585" t="s">
        <v>39</v>
      </c>
      <c r="D26" s="1585"/>
      <c r="E26" s="119"/>
      <c r="F26" s="1585" t="s">
        <v>39</v>
      </c>
      <c r="G26" s="1585"/>
      <c r="H26" s="96"/>
      <c r="I26" s="96"/>
      <c r="J26" s="101"/>
      <c r="K26" s="1267" t="s">
        <v>8</v>
      </c>
      <c r="L26" s="96" t="s">
        <v>937</v>
      </c>
      <c r="M26" s="96"/>
      <c r="N26" s="96"/>
      <c r="O26" s="96"/>
      <c r="P26" s="1267" t="s">
        <v>21</v>
      </c>
      <c r="Q26" s="102">
        <f>F610TotalBudgFY</f>
        <v>360248</v>
      </c>
      <c r="R26" s="1267" t="s">
        <v>21</v>
      </c>
      <c r="S26" s="102">
        <f>F610Carryforward</f>
        <v>65473</v>
      </c>
      <c r="T26" s="1267" t="s">
        <v>21</v>
      </c>
      <c r="U26" s="102">
        <f>UCBLBudgFY</f>
        <v>425721</v>
      </c>
      <c r="V26" s="118" t="str">
        <f>IF((Q26+S26)&gt;U26,"UCBL Exceeded","")</f>
        <v/>
      </c>
    </row>
    <row r="27" spans="1:24">
      <c r="A27" s="96"/>
      <c r="B27" s="96"/>
      <c r="C27" s="96"/>
      <c r="D27" s="96"/>
      <c r="E27" s="96"/>
      <c r="F27" s="96"/>
      <c r="G27" s="96"/>
      <c r="H27" s="96"/>
      <c r="I27" s="96"/>
      <c r="J27" s="101"/>
      <c r="K27" s="120" t="s">
        <v>22</v>
      </c>
      <c r="L27" s="96" t="s">
        <v>938</v>
      </c>
      <c r="M27" s="96"/>
      <c r="N27" s="96"/>
      <c r="O27" s="96"/>
      <c r="P27" s="96"/>
      <c r="T27" s="1267" t="s">
        <v>21</v>
      </c>
      <c r="U27" s="102">
        <f ca="1">TotFedProjFundBudgFY-F378BudgFY</f>
        <v>1665467</v>
      </c>
    </row>
    <row r="28" spans="1:24" ht="16.2" thickBot="1">
      <c r="A28" s="96"/>
      <c r="C28" s="96" t="s">
        <v>1375</v>
      </c>
      <c r="D28" s="96"/>
      <c r="E28" s="96"/>
      <c r="F28" s="96"/>
      <c r="G28" s="96"/>
      <c r="H28" s="96"/>
      <c r="I28" s="96"/>
      <c r="J28" s="101"/>
      <c r="K28" s="120" t="s">
        <v>40</v>
      </c>
      <c r="L28" s="96" t="s">
        <v>41</v>
      </c>
      <c r="M28" s="96"/>
      <c r="N28" s="96"/>
      <c r="O28" s="96"/>
      <c r="P28" s="96"/>
      <c r="T28" s="1267" t="s">
        <v>21</v>
      </c>
      <c r="U28" s="104">
        <f ca="1">SUM(U25+U26+U27)</f>
        <v>6614760</v>
      </c>
    </row>
    <row r="29" spans="1:24" ht="16.5" customHeight="1" thickTop="1">
      <c r="A29" s="96"/>
      <c r="B29" s="97" t="s">
        <v>42</v>
      </c>
      <c r="C29" s="96" t="s">
        <v>43</v>
      </c>
      <c r="D29" s="1295"/>
      <c r="F29" s="1573"/>
      <c r="G29" s="1573"/>
      <c r="H29" s="121" t="s">
        <v>44</v>
      </c>
      <c r="I29" s="122"/>
      <c r="J29" s="101"/>
      <c r="S29" s="123"/>
    </row>
    <row r="30" spans="1:24" ht="16.5" customHeight="1">
      <c r="A30" s="96"/>
      <c r="B30" s="1588"/>
      <c r="C30" s="1588"/>
      <c r="D30" s="124"/>
      <c r="E30" s="96"/>
      <c r="F30" s="1589" t="s">
        <v>30</v>
      </c>
      <c r="G30" s="1589"/>
      <c r="H30" s="96"/>
      <c r="I30" s="96"/>
      <c r="J30" s="101"/>
      <c r="K30" s="1307" t="s">
        <v>45</v>
      </c>
      <c r="L30" s="1307"/>
      <c r="M30" s="1307"/>
      <c r="N30" s="1307"/>
      <c r="O30" s="1307"/>
      <c r="P30" s="1307"/>
      <c r="Q30" s="1307"/>
      <c r="R30" s="123"/>
    </row>
    <row r="31" spans="1:24" ht="14.25" customHeight="1" thickBot="1">
      <c r="A31" s="96"/>
      <c r="B31" s="96"/>
      <c r="C31" s="96"/>
      <c r="D31" s="96"/>
      <c r="E31" s="1302"/>
      <c r="F31" s="125" t="str">
        <f>IF(F29="","Please enter upload by date",IF(F29&gt;=MAX(E13,E14,E15),"","Revise upload date for current submission"))</f>
        <v>Please enter upload by date</v>
      </c>
      <c r="G31" s="96"/>
      <c r="H31" s="1302"/>
      <c r="I31" s="96"/>
      <c r="J31" s="101"/>
      <c r="K31" s="120" t="s">
        <v>6</v>
      </c>
      <c r="L31" s="96" t="s">
        <v>1376</v>
      </c>
      <c r="M31" s="1273"/>
      <c r="N31" s="1273"/>
      <c r="O31" s="96"/>
      <c r="P31" s="1569" t="str">
        <f>IF(V32&lt;&gt;"","",IF(OR(S31=0,S32=0),"Average salary information is not complete",""))</f>
        <v/>
      </c>
      <c r="Q31" s="1569"/>
      <c r="R31" s="1267" t="s">
        <v>21</v>
      </c>
      <c r="S31" s="16">
        <f>+PriorYearSalary*1.03</f>
        <v>45320</v>
      </c>
      <c r="T31" s="126" t="str">
        <f>IF(V32&lt;&gt;"","",IF(OR(S31=0,S32=0),1/ERROR,""))</f>
        <v/>
      </c>
    </row>
    <row r="32" spans="1:24" ht="17.25" customHeight="1" thickBot="1">
      <c r="A32" s="96"/>
      <c r="B32" s="1586"/>
      <c r="C32" s="1586"/>
      <c r="D32" s="1586"/>
      <c r="E32" s="96"/>
      <c r="F32" s="1564"/>
      <c r="G32" s="1564"/>
      <c r="H32" s="1564"/>
      <c r="I32" s="96"/>
      <c r="J32" s="101"/>
      <c r="K32" s="120" t="s">
        <v>8</v>
      </c>
      <c r="L32" s="96" t="s">
        <v>1377</v>
      </c>
      <c r="M32" s="96"/>
      <c r="N32" s="96"/>
      <c r="O32" s="96"/>
      <c r="P32" s="1569"/>
      <c r="Q32" s="1569"/>
      <c r="R32" s="1267" t="s">
        <v>21</v>
      </c>
      <c r="S32" s="16">
        <v>44000</v>
      </c>
      <c r="V32" s="59"/>
      <c r="W32" s="1568" t="s">
        <v>46</v>
      </c>
      <c r="X32" s="1568"/>
    </row>
    <row r="33" spans="1:24" ht="17.25" customHeight="1">
      <c r="A33" s="96"/>
      <c r="B33" s="1574" t="s">
        <v>47</v>
      </c>
      <c r="C33" s="1574"/>
      <c r="D33" s="1574"/>
      <c r="E33" s="96"/>
      <c r="F33" s="1588" t="s">
        <v>48</v>
      </c>
      <c r="G33" s="1588"/>
      <c r="H33" s="1588"/>
      <c r="I33" s="96"/>
      <c r="J33" s="101"/>
      <c r="K33" s="120" t="s">
        <v>22</v>
      </c>
      <c r="L33" s="96" t="s">
        <v>49</v>
      </c>
      <c r="M33" s="96"/>
      <c r="N33" s="96"/>
      <c r="O33" s="96"/>
      <c r="P33" s="1569"/>
      <c r="Q33" s="1569"/>
      <c r="R33" s="1267" t="s">
        <v>21</v>
      </c>
      <c r="S33" s="127">
        <f>BudgetYearSalary-PriorYearSalary</f>
        <v>1320</v>
      </c>
      <c r="W33" s="1568"/>
      <c r="X33" s="1568"/>
    </row>
    <row r="34" spans="1:24">
      <c r="A34" s="96"/>
      <c r="B34" s="96"/>
      <c r="C34" s="96"/>
      <c r="D34" s="96"/>
      <c r="E34" s="96"/>
      <c r="F34" s="96"/>
      <c r="G34" s="96"/>
      <c r="H34" s="96"/>
      <c r="I34" s="96"/>
      <c r="J34" s="101"/>
      <c r="K34" s="120" t="s">
        <v>40</v>
      </c>
      <c r="L34" s="96" t="s">
        <v>50</v>
      </c>
      <c r="M34" s="96"/>
      <c r="N34" s="96"/>
      <c r="O34" s="128"/>
      <c r="P34" s="1570"/>
      <c r="Q34" s="1570"/>
      <c r="R34" s="1267"/>
      <c r="S34" s="129">
        <f>IF(PriorYearSalary&gt;0,SalaryIncrease/PriorYearSalary,0)</f>
        <v>0.03</v>
      </c>
    </row>
    <row r="35" spans="1:24" ht="18" customHeight="1">
      <c r="A35" s="96"/>
      <c r="B35" s="1592" t="s">
        <v>1404</v>
      </c>
      <c r="C35" s="1592"/>
      <c r="D35" s="1592"/>
      <c r="E35" s="96"/>
      <c r="F35" s="1586" t="s">
        <v>1405</v>
      </c>
      <c r="G35" s="1586"/>
      <c r="H35" s="1586"/>
      <c r="I35" s="96"/>
      <c r="J35" s="101"/>
      <c r="K35" s="1576" t="s">
        <v>1064</v>
      </c>
      <c r="L35" s="1577"/>
      <c r="M35" s="1577"/>
      <c r="N35" s="1577"/>
      <c r="O35" s="1577"/>
      <c r="P35" s="1577"/>
      <c r="Q35" s="1577"/>
      <c r="R35" s="1577"/>
      <c r="S35" s="1578"/>
    </row>
    <row r="36" spans="1:24" ht="15" customHeight="1">
      <c r="A36" s="96"/>
      <c r="B36" s="1574" t="s">
        <v>51</v>
      </c>
      <c r="C36" s="1574"/>
      <c r="D36" s="1574"/>
      <c r="E36" s="96"/>
      <c r="F36" s="1588" t="s">
        <v>52</v>
      </c>
      <c r="G36" s="1588"/>
      <c r="H36" s="1588"/>
      <c r="I36" s="96"/>
      <c r="J36" s="101"/>
      <c r="K36" s="1579"/>
      <c r="L36" s="1580"/>
      <c r="M36" s="1580"/>
      <c r="N36" s="1580"/>
      <c r="O36" s="1580"/>
      <c r="P36" s="1580"/>
      <c r="Q36" s="1580"/>
      <c r="R36" s="1580"/>
      <c r="S36" s="1581"/>
    </row>
    <row r="37" spans="1:24" ht="15" customHeight="1">
      <c r="A37" s="96"/>
      <c r="B37" s="5"/>
      <c r="C37" s="5"/>
      <c r="D37" s="5"/>
      <c r="E37" s="96"/>
      <c r="F37" s="5"/>
      <c r="G37" s="5"/>
      <c r="H37" s="5"/>
      <c r="I37" s="96"/>
      <c r="J37" s="130"/>
      <c r="K37" s="1579"/>
      <c r="L37" s="1580"/>
      <c r="M37" s="1580"/>
      <c r="N37" s="1580"/>
      <c r="O37" s="1580"/>
      <c r="P37" s="1580"/>
      <c r="Q37" s="1580"/>
      <c r="R37" s="1580"/>
      <c r="S37" s="1581"/>
    </row>
    <row r="38" spans="1:24" ht="15" customHeight="1">
      <c r="A38" s="96"/>
      <c r="B38" s="1587" t="s">
        <v>53</v>
      </c>
      <c r="C38" s="1587"/>
      <c r="D38" s="1586" t="s">
        <v>1405</v>
      </c>
      <c r="E38" s="1586"/>
      <c r="F38" s="1586"/>
      <c r="G38" s="1586"/>
      <c r="H38" s="96"/>
      <c r="I38" s="96"/>
      <c r="J38" s="131"/>
      <c r="K38" s="1579"/>
      <c r="L38" s="1580"/>
      <c r="M38" s="1580"/>
      <c r="N38" s="1580"/>
      <c r="O38" s="1580"/>
      <c r="P38" s="1580"/>
      <c r="Q38" s="1580"/>
      <c r="R38" s="1580"/>
      <c r="S38" s="1581"/>
    </row>
    <row r="39" spans="1:24" ht="15" customHeight="1">
      <c r="A39" s="100"/>
      <c r="B39" s="3"/>
      <c r="C39" s="3"/>
      <c r="D39" s="5"/>
      <c r="E39" s="5"/>
      <c r="F39" s="5"/>
      <c r="G39" s="1"/>
      <c r="H39" s="96"/>
      <c r="I39" s="132"/>
      <c r="J39" s="133"/>
      <c r="K39" s="1582"/>
      <c r="L39" s="1583"/>
      <c r="M39" s="1583"/>
      <c r="N39" s="1583"/>
      <c r="O39" s="1583"/>
      <c r="P39" s="1583"/>
      <c r="Q39" s="1583"/>
      <c r="R39" s="1583"/>
      <c r="S39" s="1584"/>
      <c r="V39" s="1147">
        <f>E3-1</f>
        <v>2026</v>
      </c>
    </row>
    <row r="40" spans="1:24" ht="15" customHeight="1">
      <c r="A40" s="134"/>
      <c r="B40" s="96" t="s">
        <v>54</v>
      </c>
      <c r="C40" s="1590" t="s">
        <v>1406</v>
      </c>
      <c r="D40" s="1590"/>
      <c r="E40" s="96"/>
      <c r="F40" s="1267" t="s">
        <v>55</v>
      </c>
      <c r="G40" s="1591" t="s">
        <v>1407</v>
      </c>
      <c r="H40" s="1586"/>
      <c r="I40" s="132"/>
      <c r="J40" s="135"/>
      <c r="K40" s="120"/>
      <c r="L40" s="96"/>
      <c r="M40" s="96"/>
      <c r="N40" s="96"/>
      <c r="O40" s="123"/>
      <c r="P40" s="123"/>
      <c r="Q40" s="96"/>
      <c r="R40" s="1267"/>
      <c r="S40" s="136"/>
      <c r="V40" s="1147">
        <f>E3-2</f>
        <v>2025</v>
      </c>
    </row>
    <row r="41" spans="1:24" ht="15.75" customHeight="1">
      <c r="A41" s="134"/>
      <c r="B41" s="96"/>
      <c r="C41" s="96"/>
      <c r="D41" s="96"/>
      <c r="E41" s="1283"/>
      <c r="F41" s="96"/>
      <c r="G41" s="96"/>
      <c r="H41" s="96"/>
      <c r="I41" s="132"/>
      <c r="J41" s="137"/>
      <c r="K41" s="120"/>
      <c r="L41" s="96"/>
      <c r="R41" s="1267"/>
      <c r="S41" s="129"/>
      <c r="T41" s="137"/>
    </row>
    <row r="42" spans="1:24">
      <c r="A42" s="138"/>
      <c r="B42" s="96"/>
      <c r="C42" s="96"/>
      <c r="D42" s="96"/>
      <c r="E42" s="1283"/>
      <c r="F42" s="96"/>
      <c r="G42" s="96"/>
      <c r="H42" s="96"/>
      <c r="J42" s="139"/>
      <c r="K42" s="140"/>
      <c r="L42" s="139"/>
      <c r="M42" s="141"/>
      <c r="N42" s="141"/>
      <c r="O42" s="141"/>
      <c r="P42" s="141"/>
      <c r="Q42" s="142"/>
      <c r="R42" s="142"/>
      <c r="S42" s="143"/>
      <c r="T42" s="137"/>
    </row>
    <row r="43" spans="1:24" ht="6.75" customHeight="1">
      <c r="B43" s="100"/>
      <c r="C43" s="1283"/>
      <c r="D43" s="1283"/>
      <c r="E43" s="144"/>
      <c r="F43" s="1283"/>
      <c r="G43" s="1283"/>
      <c r="H43" s="1283"/>
      <c r="S43" s="145"/>
    </row>
    <row r="44" spans="1:24">
      <c r="E44" s="144"/>
      <c r="F44" s="144"/>
      <c r="G44" s="146"/>
      <c r="H44" s="144"/>
    </row>
    <row r="45" spans="1:24">
      <c r="E45" s="138"/>
      <c r="F45" s="144"/>
      <c r="G45" s="144"/>
      <c r="H45" s="144"/>
    </row>
    <row r="56" spans="2:2">
      <c r="B56" s="147"/>
    </row>
  </sheetData>
  <sheetProtection sheet="1" formatCells="0" formatColumns="0" formatRows="0"/>
  <mergeCells count="56">
    <mergeCell ref="E17:H17"/>
    <mergeCell ref="E18:H18"/>
    <mergeCell ref="O4:P4"/>
    <mergeCell ref="E14:F14"/>
    <mergeCell ref="O8:S8"/>
    <mergeCell ref="C8:G8"/>
    <mergeCell ref="A4:I4"/>
    <mergeCell ref="A6:I6"/>
    <mergeCell ref="A12:I12"/>
    <mergeCell ref="A5:I5"/>
    <mergeCell ref="E13:F13"/>
    <mergeCell ref="A10:I11"/>
    <mergeCell ref="O6:S7"/>
    <mergeCell ref="O9:S10"/>
    <mergeCell ref="F19:G19"/>
    <mergeCell ref="F20:G20"/>
    <mergeCell ref="F23:G23"/>
    <mergeCell ref="F21:G21"/>
    <mergeCell ref="F22:G22"/>
    <mergeCell ref="C40:D40"/>
    <mergeCell ref="D38:G38"/>
    <mergeCell ref="G40:H40"/>
    <mergeCell ref="B33:D33"/>
    <mergeCell ref="F33:H33"/>
    <mergeCell ref="B36:D36"/>
    <mergeCell ref="F36:H36"/>
    <mergeCell ref="B35:D35"/>
    <mergeCell ref="F35:H35"/>
    <mergeCell ref="C23:D23"/>
    <mergeCell ref="C20:D20"/>
    <mergeCell ref="C21:D21"/>
    <mergeCell ref="K35:S39"/>
    <mergeCell ref="C26:D26"/>
    <mergeCell ref="B32:D32"/>
    <mergeCell ref="B38:C38"/>
    <mergeCell ref="B30:C30"/>
    <mergeCell ref="F32:H32"/>
    <mergeCell ref="F30:G30"/>
    <mergeCell ref="F26:G26"/>
    <mergeCell ref="C22:D22"/>
    <mergeCell ref="W18:X24"/>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s>
  <conditionalFormatting sqref="W18:X24">
    <cfRule type="expression" dxfId="32" priority="1">
      <formula>W18&lt;&gt;""</formula>
    </cfRule>
  </conditionalFormatting>
  <dataValidations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000-000002000000}"/>
    <dataValidation operator="greaterThan" allowBlank="1" showInputMessage="1" showErrorMessage="1" errorTitle="Date" error="Adopted date must be greater than proposed date" promptTitle="Enter Date as" prompt="Month Day, Year_x000a_(ex. July 1, 20XX)" sqref="E14:F14" xr:uid="{00000000-0002-0000-0000-000003000000}"/>
    <dataValidation operator="greaterThanOrEqual" allowBlank="1" showInputMessage="1" errorTitle="Date" error="Enter a Valid Date_x000a_MM/DD/YYYY" promptTitle="Enter Date as" prompt="Month Day, Year_x000a_(ex. July 1, 20XX)" sqref="E13:F13 F29:G29" xr:uid="{00000000-0002-0000-0000-000004000000}"/>
    <dataValidation type="list" allowBlank="1" showInputMessage="1" showErrorMessage="1" sqref="V32" xr:uid="{00000000-0002-0000-0000-000005000000}">
      <formula1>"X"</formula1>
    </dataValidation>
  </dataValidations>
  <hyperlinks>
    <hyperlink ref="L11:P11" location="TaxRates" display="District tax rates for prior and budget fiscal years (A.R.S. §15-903.D.4)" xr:uid="{00000000-0004-0000-0000-000000000000}"/>
    <hyperlink ref="K30:Q30" location="AvgTeacherSalaries" display="Average teacher salaries (A.R.S. §15-903.E)" xr:uid="{00000000-0004-0000-0000-000001000000}"/>
    <hyperlink ref="B17:D17" location="WebsiteLink" display="District website link of posted budget" xr:uid="{00000000-0004-0000-0000-000002000000}"/>
    <hyperlink ref="M1" location="CoverGen" display="Instructions" xr:uid="{00000000-0004-0000-0000-000003000000}"/>
    <hyperlink ref="B17:D17" location="WebsiteLink" display="District website link of posted budget" xr:uid="{00000000-0004-0000-0000-000004000000}"/>
  </hyperlinks>
  <printOptions horizontalCentered="1"/>
  <pageMargins left="0.25" right="0.25" top="0.25" bottom="0.25" header="0" footer="0.15"/>
  <pageSetup paperSize="5" scale="69" orientation="landscape" r:id="rId1"/>
  <headerFooter alignWithMargins="0">
    <oddFooter>&amp;L&amp;"Times New Roman,Bold"&amp;9Rev. 5/26&amp;K000000 Arizona Department of Education and Auditor General&amp;C&amp;"Times New Roman,Regular"&amp;9&amp;D  &amp;T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codeName="Sheet11">
    <pageSetUpPr fitToPage="1"/>
  </sheetPr>
  <dimension ref="A1:Q48"/>
  <sheetViews>
    <sheetView showGridLines="0" zoomScaleSheetLayoutView="130" workbookViewId="0"/>
  </sheetViews>
  <sheetFormatPr defaultColWidth="9.81640625" defaultRowHeight="15.6"/>
  <cols>
    <col min="1" max="1" width="16.81640625" style="97" customWidth="1"/>
    <col min="2" max="2" width="26.81640625" style="97" customWidth="1"/>
    <col min="3" max="3" width="3" style="97" customWidth="1"/>
    <col min="4" max="5" width="5.81640625" style="97" customWidth="1"/>
    <col min="6" max="13" width="10.81640625" style="97" customWidth="1"/>
    <col min="14" max="14" width="6.81640625" style="97" customWidth="1"/>
    <col min="15" max="16" width="3.81640625" style="97" customWidth="1"/>
    <col min="17" max="22" width="9.81640625" style="97" customWidth="1"/>
    <col min="23" max="16384" width="9.81640625" style="97"/>
  </cols>
  <sheetData>
    <row r="1" spans="1:17" ht="12" customHeight="1">
      <c r="A1" s="1266" t="s">
        <v>140</v>
      </c>
      <c r="B1" s="1546" t="str">
        <f>DistrictName</f>
        <v>Stanfield Elementary School District</v>
      </c>
      <c r="C1" s="1546"/>
      <c r="D1" s="1546"/>
      <c r="E1" s="1546"/>
      <c r="F1" s="1266" t="s">
        <v>1</v>
      </c>
      <c r="G1" s="1538" t="str">
        <f>Cover!H1</f>
        <v>Pinal</v>
      </c>
      <c r="H1" s="1625"/>
      <c r="I1" s="138"/>
      <c r="J1" s="1266" t="s">
        <v>57</v>
      </c>
      <c r="K1" s="98" t="str">
        <f>Cover!S1</f>
        <v>110424000</v>
      </c>
      <c r="L1" s="148"/>
      <c r="M1" s="1266" t="s">
        <v>16</v>
      </c>
      <c r="N1" s="1602" t="str">
        <f>Cover!C8</f>
        <v>Proposed</v>
      </c>
      <c r="O1" s="1602"/>
      <c r="P1" s="138"/>
      <c r="Q1" s="138"/>
    </row>
    <row r="2" spans="1:17" ht="42" customHeight="1">
      <c r="A2" s="1700" t="s">
        <v>1027</v>
      </c>
      <c r="B2" s="1701"/>
      <c r="C2" s="1701"/>
      <c r="D2" s="1701"/>
      <c r="E2" s="1701"/>
      <c r="F2" s="1701"/>
      <c r="G2" s="1701"/>
      <c r="H2" s="1701"/>
      <c r="I2" s="1701"/>
      <c r="J2" s="1701"/>
      <c r="K2" s="1701"/>
      <c r="L2" s="1701"/>
      <c r="M2" s="1701"/>
      <c r="N2" s="1701"/>
      <c r="O2" s="558"/>
      <c r="P2" s="558"/>
      <c r="Q2" s="558"/>
    </row>
    <row r="3" spans="1:17" ht="12" customHeight="1">
      <c r="A3" s="1473" t="s">
        <v>692</v>
      </c>
      <c r="C3" s="99"/>
      <c r="D3" s="559"/>
      <c r="E3" s="560"/>
      <c r="F3" s="561"/>
      <c r="G3" s="1270" t="s">
        <v>77</v>
      </c>
      <c r="H3" s="1270" t="s">
        <v>78</v>
      </c>
      <c r="I3" s="1270"/>
      <c r="J3" s="1270"/>
      <c r="K3" s="1270"/>
      <c r="L3" s="312" t="s">
        <v>79</v>
      </c>
      <c r="M3" s="312"/>
      <c r="N3" s="163"/>
    </row>
    <row r="4" spans="1:17" ht="12" customHeight="1">
      <c r="A4" s="1702" t="s">
        <v>307</v>
      </c>
      <c r="B4" s="1703"/>
      <c r="C4" s="96"/>
      <c r="D4" s="164" t="s">
        <v>80</v>
      </c>
      <c r="E4" s="562"/>
      <c r="F4" s="165" t="s">
        <v>81</v>
      </c>
      <c r="G4" s="161" t="s">
        <v>308</v>
      </c>
      <c r="H4" s="161" t="s">
        <v>309</v>
      </c>
      <c r="I4" s="161" t="s">
        <v>82</v>
      </c>
      <c r="J4" s="161" t="s">
        <v>146</v>
      </c>
      <c r="K4" s="161" t="s">
        <v>83</v>
      </c>
      <c r="L4" s="5" t="s">
        <v>84</v>
      </c>
      <c r="M4" s="165" t="s">
        <v>85</v>
      </c>
      <c r="N4" s="161" t="s">
        <v>86</v>
      </c>
    </row>
    <row r="5" spans="1:17" ht="12" customHeight="1">
      <c r="A5" s="563"/>
      <c r="C5" s="96"/>
      <c r="D5" s="161" t="s">
        <v>84</v>
      </c>
      <c r="E5" s="5" t="s">
        <v>85</v>
      </c>
      <c r="F5" s="165"/>
      <c r="G5" s="166"/>
      <c r="H5" s="161" t="s">
        <v>88</v>
      </c>
      <c r="I5" s="161"/>
      <c r="J5" s="161"/>
      <c r="K5" s="161"/>
      <c r="L5" s="5" t="s">
        <v>3</v>
      </c>
      <c r="M5" s="165" t="s">
        <v>3</v>
      </c>
      <c r="N5" s="161" t="s">
        <v>89</v>
      </c>
    </row>
    <row r="6" spans="1:17" ht="12" customHeight="1">
      <c r="A6" s="564" t="s">
        <v>87</v>
      </c>
      <c r="C6" s="169"/>
      <c r="D6" s="161" t="s">
        <v>3</v>
      </c>
      <c r="E6" s="171" t="s">
        <v>3</v>
      </c>
      <c r="F6" s="172">
        <v>6100</v>
      </c>
      <c r="G6" s="170" t="s">
        <v>91</v>
      </c>
      <c r="H6" s="170" t="s">
        <v>92</v>
      </c>
      <c r="I6" s="170">
        <v>6600</v>
      </c>
      <c r="J6" s="170">
        <v>6700</v>
      </c>
      <c r="K6" s="170" t="s">
        <v>93</v>
      </c>
      <c r="L6" s="171">
        <f>PriorFiscalYear</f>
        <v>2026</v>
      </c>
      <c r="M6" s="172">
        <f>Cover!E3</f>
        <v>2027</v>
      </c>
      <c r="N6" s="170" t="s">
        <v>94</v>
      </c>
    </row>
    <row r="7" spans="1:17" ht="13.5" customHeight="1">
      <c r="A7" s="1698" t="s">
        <v>310</v>
      </c>
      <c r="B7" s="1699"/>
      <c r="C7" s="565"/>
      <c r="D7" s="1106"/>
      <c r="E7" s="173"/>
      <c r="F7" s="174"/>
      <c r="G7" s="174"/>
      <c r="H7" s="174"/>
      <c r="I7" s="174"/>
      <c r="J7" s="1104"/>
      <c r="K7" s="1107"/>
      <c r="L7" s="1106"/>
      <c r="M7" s="1106"/>
      <c r="N7" s="1106"/>
      <c r="O7" s="566"/>
    </row>
    <row r="8" spans="1:17" ht="13.5" customHeight="1">
      <c r="A8" s="101" t="s">
        <v>96</v>
      </c>
      <c r="B8" s="96"/>
      <c r="C8" s="175" t="s">
        <v>6</v>
      </c>
      <c r="D8" s="1176">
        <f>[1]!F071F1000Personnel</f>
        <v>0</v>
      </c>
      <c r="E8" s="37"/>
      <c r="F8" s="9"/>
      <c r="G8" s="9"/>
      <c r="H8" s="9"/>
      <c r="I8" s="9"/>
      <c r="J8" s="1105"/>
      <c r="K8" s="46"/>
      <c r="L8" s="1154">
        <f>[1]!F071F1000</f>
        <v>0</v>
      </c>
      <c r="M8" s="1154">
        <f>SUM(F8:K8)</f>
        <v>0</v>
      </c>
      <c r="N8" s="1164">
        <f>IF(L8=M8,0,IF(L8&gt;0,(M8-L8)/L8,""))</f>
        <v>0</v>
      </c>
      <c r="O8" s="177" t="s">
        <v>6</v>
      </c>
      <c r="P8" s="1267"/>
    </row>
    <row r="9" spans="1:17" ht="13.5" customHeight="1">
      <c r="A9" s="101" t="s">
        <v>968</v>
      </c>
      <c r="B9" s="96"/>
      <c r="C9" s="175" t="s">
        <v>42</v>
      </c>
      <c r="D9" s="1106"/>
      <c r="E9" s="173"/>
      <c r="F9" s="174"/>
      <c r="G9" s="174"/>
      <c r="H9" s="174"/>
      <c r="I9" s="174"/>
      <c r="J9" s="1104"/>
      <c r="K9" s="1107"/>
      <c r="L9" s="1083"/>
      <c r="M9" s="1083"/>
      <c r="N9" s="1083"/>
      <c r="O9" s="177" t="s">
        <v>42</v>
      </c>
      <c r="P9" s="1267"/>
    </row>
    <row r="10" spans="1:17" ht="13.5" customHeight="1">
      <c r="A10" s="101" t="s">
        <v>97</v>
      </c>
      <c r="B10" s="96"/>
      <c r="C10" s="175" t="s">
        <v>8</v>
      </c>
      <c r="D10" s="1176">
        <f>[1]!F071F2100Personnel</f>
        <v>0</v>
      </c>
      <c r="E10" s="37"/>
      <c r="F10" s="9"/>
      <c r="G10" s="9"/>
      <c r="H10" s="9"/>
      <c r="I10" s="9"/>
      <c r="J10" s="1105"/>
      <c r="K10" s="46"/>
      <c r="L10" s="1150">
        <f>[1]!F071F2100</f>
        <v>0</v>
      </c>
      <c r="M10" s="1150">
        <f>SUM(F10:K10)</f>
        <v>0</v>
      </c>
      <c r="N10" s="1151">
        <f>IF(L10=M10,0,IF(L10&gt;0,(M10-L10)/L10,""))</f>
        <v>0</v>
      </c>
      <c r="O10" s="177" t="s">
        <v>8</v>
      </c>
      <c r="P10" s="1267"/>
    </row>
    <row r="11" spans="1:17" ht="13.5" customHeight="1">
      <c r="A11" s="101" t="s">
        <v>969</v>
      </c>
      <c r="B11" s="96"/>
      <c r="C11" s="175" t="s">
        <v>22</v>
      </c>
      <c r="D11" s="1152">
        <f>[1]!F071F2200Personnel</f>
        <v>0</v>
      </c>
      <c r="E11" s="14"/>
      <c r="F11" s="10"/>
      <c r="G11" s="10"/>
      <c r="H11" s="10"/>
      <c r="I11" s="10"/>
      <c r="J11" s="567"/>
      <c r="K11" s="10"/>
      <c r="L11" s="176">
        <f>[1]!F071F2200</f>
        <v>0</v>
      </c>
      <c r="M11" s="176">
        <f t="shared" ref="M11:M17" si="0">SUM(F11:K11)</f>
        <v>0</v>
      </c>
      <c r="N11" s="1155">
        <f t="shared" ref="N11:N17" si="1">IF(L11=M11,0,IF(L11&gt;0,(M11-L11)/L11,""))</f>
        <v>0</v>
      </c>
      <c r="O11" s="177" t="s">
        <v>22</v>
      </c>
      <c r="P11" s="1267"/>
    </row>
    <row r="12" spans="1:17" ht="13.5" customHeight="1">
      <c r="A12" s="101" t="s">
        <v>970</v>
      </c>
      <c r="B12" s="96"/>
      <c r="C12" s="175" t="s">
        <v>40</v>
      </c>
      <c r="D12" s="186">
        <f>[1]!F071F2300Personnel</f>
        <v>0</v>
      </c>
      <c r="E12" s="14"/>
      <c r="F12" s="10"/>
      <c r="G12" s="10"/>
      <c r="H12" s="10"/>
      <c r="I12" s="10"/>
      <c r="J12" s="567"/>
      <c r="K12" s="10"/>
      <c r="L12" s="1156">
        <f>[1]!F071F2300</f>
        <v>0</v>
      </c>
      <c r="M12" s="176">
        <f t="shared" si="0"/>
        <v>0</v>
      </c>
      <c r="N12" s="1157">
        <f t="shared" si="1"/>
        <v>0</v>
      </c>
      <c r="O12" s="177" t="s">
        <v>40</v>
      </c>
      <c r="P12" s="1267"/>
    </row>
    <row r="13" spans="1:17" ht="13.5" customHeight="1">
      <c r="A13" s="101" t="s">
        <v>971</v>
      </c>
      <c r="B13" s="96"/>
      <c r="C13" s="175" t="s">
        <v>98</v>
      </c>
      <c r="D13" s="186">
        <f>[1]!F071F2400Personnel</f>
        <v>0</v>
      </c>
      <c r="E13" s="14"/>
      <c r="F13" s="10"/>
      <c r="G13" s="10"/>
      <c r="H13" s="10"/>
      <c r="I13" s="10"/>
      <c r="J13" s="567"/>
      <c r="K13" s="10"/>
      <c r="L13" s="1156">
        <f>[1]!F071F2400</f>
        <v>0</v>
      </c>
      <c r="M13" s="176">
        <f t="shared" si="0"/>
        <v>0</v>
      </c>
      <c r="N13" s="1157">
        <f t="shared" si="1"/>
        <v>0</v>
      </c>
      <c r="O13" s="177" t="s">
        <v>98</v>
      </c>
      <c r="P13" s="1267"/>
    </row>
    <row r="14" spans="1:17" ht="13.5" customHeight="1">
      <c r="A14" s="101" t="s">
        <v>972</v>
      </c>
      <c r="B14" s="96"/>
      <c r="C14" s="175" t="s">
        <v>99</v>
      </c>
      <c r="D14" s="186">
        <f>[1]!F071F2500Personnel</f>
        <v>0</v>
      </c>
      <c r="E14" s="14"/>
      <c r="F14" s="10"/>
      <c r="G14" s="10"/>
      <c r="H14" s="10"/>
      <c r="I14" s="10"/>
      <c r="J14" s="567"/>
      <c r="K14" s="10"/>
      <c r="L14" s="1156">
        <f>[1]!F071F2500</f>
        <v>0</v>
      </c>
      <c r="M14" s="176">
        <f t="shared" si="0"/>
        <v>0</v>
      </c>
      <c r="N14" s="1157">
        <f t="shared" si="1"/>
        <v>0</v>
      </c>
      <c r="O14" s="177" t="s">
        <v>99</v>
      </c>
      <c r="P14" s="1267"/>
    </row>
    <row r="15" spans="1:17" ht="13.5" customHeight="1">
      <c r="A15" s="101" t="s">
        <v>973</v>
      </c>
      <c r="B15" s="96"/>
      <c r="C15" s="175" t="s">
        <v>100</v>
      </c>
      <c r="D15" s="186">
        <f>[1]!F071F2600Personnel</f>
        <v>0</v>
      </c>
      <c r="E15" s="14"/>
      <c r="F15" s="10"/>
      <c r="G15" s="10"/>
      <c r="H15" s="10"/>
      <c r="I15" s="10"/>
      <c r="J15" s="567"/>
      <c r="K15" s="10"/>
      <c r="L15" s="1156">
        <f>[1]!F071F2600</f>
        <v>0</v>
      </c>
      <c r="M15" s="176">
        <f t="shared" si="0"/>
        <v>0</v>
      </c>
      <c r="N15" s="1157">
        <f t="shared" si="1"/>
        <v>0</v>
      </c>
      <c r="O15" s="177" t="s">
        <v>100</v>
      </c>
      <c r="P15" s="1267"/>
    </row>
    <row r="16" spans="1:17" ht="13.5" customHeight="1">
      <c r="A16" s="101" t="s">
        <v>1026</v>
      </c>
      <c r="B16" s="96"/>
      <c r="C16" s="175" t="s">
        <v>102</v>
      </c>
      <c r="D16" s="186">
        <f>[1]!F071F2700Personnel</f>
        <v>0</v>
      </c>
      <c r="E16" s="14"/>
      <c r="F16" s="10"/>
      <c r="G16" s="10"/>
      <c r="H16" s="10"/>
      <c r="I16" s="10"/>
      <c r="J16" s="567"/>
      <c r="K16" s="10"/>
      <c r="L16" s="1156">
        <f>[1]!F071F2700</f>
        <v>0</v>
      </c>
      <c r="M16" s="176">
        <f t="shared" si="0"/>
        <v>0</v>
      </c>
      <c r="N16" s="1157">
        <f t="shared" si="1"/>
        <v>0</v>
      </c>
      <c r="O16" s="177" t="s">
        <v>102</v>
      </c>
      <c r="P16" s="1267"/>
    </row>
    <row r="17" spans="1:16" ht="13.5" customHeight="1">
      <c r="A17" s="101" t="s">
        <v>101</v>
      </c>
      <c r="B17" s="96"/>
      <c r="C17" s="175" t="s">
        <v>103</v>
      </c>
      <c r="D17" s="186">
        <f>[1]!F071F2900Personnel</f>
        <v>0</v>
      </c>
      <c r="E17" s="14"/>
      <c r="F17" s="10"/>
      <c r="G17" s="10"/>
      <c r="H17" s="10"/>
      <c r="I17" s="10"/>
      <c r="J17" s="567"/>
      <c r="K17" s="10"/>
      <c r="L17" s="1156">
        <f>[1]!F071F2900</f>
        <v>0</v>
      </c>
      <c r="M17" s="176">
        <f t="shared" si="0"/>
        <v>0</v>
      </c>
      <c r="N17" s="1157">
        <f t="shared" si="1"/>
        <v>0</v>
      </c>
      <c r="O17" s="177" t="s">
        <v>103</v>
      </c>
      <c r="P17" s="1267"/>
    </row>
    <row r="18" spans="1:16" ht="13.5" customHeight="1">
      <c r="A18" s="568" t="s">
        <v>1122</v>
      </c>
      <c r="B18" s="569"/>
      <c r="C18" s="570" t="s">
        <v>104</v>
      </c>
      <c r="D18" s="1158">
        <f>SUM(D8:D17)</f>
        <v>0</v>
      </c>
      <c r="E18" s="186">
        <f>E8+SUM(E10:E17)</f>
        <v>0</v>
      </c>
      <c r="F18" s="190">
        <f>F8+SUM(F10:F17)</f>
        <v>0</v>
      </c>
      <c r="G18" s="190">
        <f>G8+SUM(G10:G17)</f>
        <v>0</v>
      </c>
      <c r="H18" s="190">
        <f>H8+SUM(H10:H17)</f>
        <v>0</v>
      </c>
      <c r="I18" s="190">
        <f>I8+SUM(I10:I17)</f>
        <v>0</v>
      </c>
      <c r="J18" s="571"/>
      <c r="K18" s="190">
        <f>K8+SUM(K10:K17)</f>
        <v>0</v>
      </c>
      <c r="L18" s="1159">
        <f>SUM(L8:L17)</f>
        <v>0</v>
      </c>
      <c r="M18" s="1159">
        <f>SUM(M8:M17)</f>
        <v>0</v>
      </c>
      <c r="N18" s="1160">
        <f>IF(L18=M18,0,IF(L18&gt;0,(M18-L18)/L18,""))</f>
        <v>0</v>
      </c>
      <c r="O18" s="327" t="s">
        <v>104</v>
      </c>
      <c r="P18" s="1267"/>
    </row>
    <row r="19" spans="1:16" ht="13.5" customHeight="1">
      <c r="A19" s="1698" t="s">
        <v>311</v>
      </c>
      <c r="B19" s="1699"/>
      <c r="C19" s="572"/>
      <c r="D19" s="1106"/>
      <c r="E19" s="173"/>
      <c r="F19" s="174"/>
      <c r="G19" s="174"/>
      <c r="H19" s="174"/>
      <c r="I19" s="174"/>
      <c r="J19" s="1104"/>
      <c r="K19" s="1107"/>
      <c r="L19" s="1083"/>
      <c r="M19" s="1083"/>
      <c r="N19" s="1083"/>
      <c r="O19" s="566"/>
    </row>
    <row r="20" spans="1:16" ht="13.5" customHeight="1">
      <c r="A20" s="101" t="s">
        <v>96</v>
      </c>
      <c r="B20" s="96"/>
      <c r="C20" s="175" t="s">
        <v>105</v>
      </c>
      <c r="D20" s="1176">
        <f>[1]!F072F1000Personnel</f>
        <v>0</v>
      </c>
      <c r="E20" s="37"/>
      <c r="F20" s="9"/>
      <c r="G20" s="9"/>
      <c r="H20" s="9"/>
      <c r="I20" s="9"/>
      <c r="J20" s="1105"/>
      <c r="K20" s="46"/>
      <c r="L20" s="1150">
        <f>[1]!F072F1000</f>
        <v>0</v>
      </c>
      <c r="M20" s="1150">
        <f>SUM(F20:K20)</f>
        <v>0</v>
      </c>
      <c r="N20" s="1151">
        <f>IF(L20=M20,0,IF(L20&gt;0,(M20-L20)/L20,""))</f>
        <v>0</v>
      </c>
      <c r="O20" s="177" t="s">
        <v>105</v>
      </c>
      <c r="P20" s="1267"/>
    </row>
    <row r="21" spans="1:16" ht="13.5" customHeight="1">
      <c r="A21" s="101" t="s">
        <v>968</v>
      </c>
      <c r="B21" s="96"/>
      <c r="C21" s="175"/>
      <c r="D21" s="1106"/>
      <c r="E21" s="173"/>
      <c r="F21" s="174"/>
      <c r="G21" s="174"/>
      <c r="H21" s="174"/>
      <c r="I21" s="174"/>
      <c r="J21" s="1104"/>
      <c r="K21" s="1107"/>
      <c r="L21" s="1083"/>
      <c r="M21" s="1083"/>
      <c r="N21" s="1083"/>
      <c r="O21" s="177" t="s">
        <v>42</v>
      </c>
      <c r="P21" s="1267"/>
    </row>
    <row r="22" spans="1:16" ht="13.5" customHeight="1">
      <c r="A22" s="101" t="s">
        <v>97</v>
      </c>
      <c r="B22" s="96"/>
      <c r="C22" s="175" t="s">
        <v>106</v>
      </c>
      <c r="D22" s="1176">
        <f>[1]!F072F2100Personnel</f>
        <v>0</v>
      </c>
      <c r="E22" s="37"/>
      <c r="F22" s="9"/>
      <c r="G22" s="9"/>
      <c r="H22" s="9"/>
      <c r="I22" s="9"/>
      <c r="J22" s="1105"/>
      <c r="K22" s="46"/>
      <c r="L22" s="1150">
        <f>[1]!F072F2100</f>
        <v>0</v>
      </c>
      <c r="M22" s="1150">
        <f>SUM(F22:K22)</f>
        <v>0</v>
      </c>
      <c r="N22" s="1151">
        <f>IF(L22=M22,0,IF(L22&gt;0,(M22-L22)/L22,""))</f>
        <v>0</v>
      </c>
      <c r="O22" s="177" t="s">
        <v>106</v>
      </c>
      <c r="P22" s="1267"/>
    </row>
    <row r="23" spans="1:16" ht="13.5" customHeight="1">
      <c r="A23" s="101" t="s">
        <v>969</v>
      </c>
      <c r="B23" s="96"/>
      <c r="C23" s="175" t="s">
        <v>107</v>
      </c>
      <c r="D23" s="1152">
        <f>[1]!F072F2200Personnel</f>
        <v>0</v>
      </c>
      <c r="E23" s="14"/>
      <c r="F23" s="10"/>
      <c r="G23" s="10"/>
      <c r="H23" s="10"/>
      <c r="I23" s="10"/>
      <c r="J23" s="567"/>
      <c r="K23" s="10"/>
      <c r="L23" s="1177">
        <f>[1]!F072F2200</f>
        <v>0</v>
      </c>
      <c r="M23" s="176">
        <f t="shared" ref="M23:M29" si="2">SUM(F23:K23)</f>
        <v>0</v>
      </c>
      <c r="N23" s="1155">
        <f t="shared" ref="N23:N30" si="3">IF(L23=M23,0,IF(L23&gt;0,(M23-L23)/L23,""))</f>
        <v>0</v>
      </c>
      <c r="O23" s="177" t="s">
        <v>107</v>
      </c>
      <c r="P23" s="1267"/>
    </row>
    <row r="24" spans="1:16" ht="13.5" customHeight="1">
      <c r="A24" s="101" t="s">
        <v>970</v>
      </c>
      <c r="B24" s="96"/>
      <c r="C24" s="175" t="s">
        <v>108</v>
      </c>
      <c r="D24" s="186">
        <f>[1]!F072F2300Personnel</f>
        <v>0</v>
      </c>
      <c r="E24" s="14"/>
      <c r="F24" s="10"/>
      <c r="G24" s="10"/>
      <c r="H24" s="10"/>
      <c r="I24" s="10"/>
      <c r="J24" s="567"/>
      <c r="K24" s="10"/>
      <c r="L24" s="178">
        <f>[1]!F072F2300</f>
        <v>0</v>
      </c>
      <c r="M24" s="176">
        <f t="shared" si="2"/>
        <v>0</v>
      </c>
      <c r="N24" s="179">
        <f t="shared" si="3"/>
        <v>0</v>
      </c>
      <c r="O24" s="177" t="s">
        <v>108</v>
      </c>
      <c r="P24" s="1267"/>
    </row>
    <row r="25" spans="1:16" ht="13.5" customHeight="1">
      <c r="A25" s="101" t="s">
        <v>971</v>
      </c>
      <c r="B25" s="96"/>
      <c r="C25" s="175" t="s">
        <v>109</v>
      </c>
      <c r="D25" s="186">
        <f>[1]!F072F2400Personnel</f>
        <v>0</v>
      </c>
      <c r="E25" s="14"/>
      <c r="F25" s="10"/>
      <c r="G25" s="10"/>
      <c r="H25" s="10"/>
      <c r="I25" s="10"/>
      <c r="J25" s="567"/>
      <c r="K25" s="10"/>
      <c r="L25" s="178">
        <f>[1]!F072F2400</f>
        <v>0</v>
      </c>
      <c r="M25" s="176">
        <f t="shared" si="2"/>
        <v>0</v>
      </c>
      <c r="N25" s="179">
        <f t="shared" si="3"/>
        <v>0</v>
      </c>
      <c r="O25" s="177" t="s">
        <v>109</v>
      </c>
      <c r="P25" s="1267"/>
    </row>
    <row r="26" spans="1:16" ht="13.5" customHeight="1">
      <c r="A26" s="101" t="s">
        <v>972</v>
      </c>
      <c r="B26" s="96"/>
      <c r="C26" s="175" t="s">
        <v>110</v>
      </c>
      <c r="D26" s="189">
        <f>[1]!F072F2500Personnel</f>
        <v>0</v>
      </c>
      <c r="E26" s="14"/>
      <c r="F26" s="10"/>
      <c r="G26" s="10"/>
      <c r="H26" s="10"/>
      <c r="I26" s="10"/>
      <c r="J26" s="567"/>
      <c r="K26" s="10"/>
      <c r="L26" s="178">
        <f>[1]!F072F2500</f>
        <v>0</v>
      </c>
      <c r="M26" s="176">
        <f t="shared" si="2"/>
        <v>0</v>
      </c>
      <c r="N26" s="179">
        <f t="shared" si="3"/>
        <v>0</v>
      </c>
      <c r="O26" s="177" t="s">
        <v>110</v>
      </c>
      <c r="P26" s="1267"/>
    </row>
    <row r="27" spans="1:16" ht="13.5" customHeight="1">
      <c r="A27" s="101" t="s">
        <v>973</v>
      </c>
      <c r="B27" s="96"/>
      <c r="C27" s="175" t="s">
        <v>111</v>
      </c>
      <c r="D27" s="189">
        <f>[1]!F072F2600Personnel</f>
        <v>0</v>
      </c>
      <c r="E27" s="14"/>
      <c r="F27" s="10"/>
      <c r="G27" s="10"/>
      <c r="H27" s="10"/>
      <c r="I27" s="10"/>
      <c r="J27" s="567"/>
      <c r="K27" s="10"/>
      <c r="L27" s="178">
        <f>[1]!F072F2600</f>
        <v>0</v>
      </c>
      <c r="M27" s="176">
        <f t="shared" si="2"/>
        <v>0</v>
      </c>
      <c r="N27" s="179">
        <f t="shared" si="3"/>
        <v>0</v>
      </c>
      <c r="O27" s="177" t="s">
        <v>111</v>
      </c>
      <c r="P27" s="1267"/>
    </row>
    <row r="28" spans="1:16" ht="13.5" customHeight="1">
      <c r="A28" s="101" t="s">
        <v>1026</v>
      </c>
      <c r="B28" s="96"/>
      <c r="C28" s="175" t="s">
        <v>112</v>
      </c>
      <c r="D28" s="189">
        <f>[1]!F072F2700Personnel</f>
        <v>0</v>
      </c>
      <c r="E28" s="14"/>
      <c r="F28" s="10"/>
      <c r="G28" s="10"/>
      <c r="H28" s="10"/>
      <c r="I28" s="10"/>
      <c r="J28" s="567"/>
      <c r="K28" s="10"/>
      <c r="L28" s="178">
        <f>[1]!F072F2700</f>
        <v>0</v>
      </c>
      <c r="M28" s="176">
        <f t="shared" si="2"/>
        <v>0</v>
      </c>
      <c r="N28" s="179">
        <f t="shared" si="3"/>
        <v>0</v>
      </c>
      <c r="O28" s="177" t="s">
        <v>112</v>
      </c>
      <c r="P28" s="1267"/>
    </row>
    <row r="29" spans="1:16" ht="13.5" customHeight="1">
      <c r="A29" s="101" t="s">
        <v>101</v>
      </c>
      <c r="B29" s="96"/>
      <c r="C29" s="175" t="s">
        <v>113</v>
      </c>
      <c r="D29" s="189">
        <f>[1]!F072F2900Personnel</f>
        <v>0</v>
      </c>
      <c r="E29" s="14"/>
      <c r="F29" s="10"/>
      <c r="G29" s="10"/>
      <c r="H29" s="10"/>
      <c r="I29" s="10"/>
      <c r="J29" s="567"/>
      <c r="K29" s="10"/>
      <c r="L29" s="178">
        <f>[1]!F072F2900</f>
        <v>0</v>
      </c>
      <c r="M29" s="176">
        <f t="shared" si="2"/>
        <v>0</v>
      </c>
      <c r="N29" s="179">
        <f t="shared" si="3"/>
        <v>0</v>
      </c>
      <c r="O29" s="177" t="s">
        <v>113</v>
      </c>
      <c r="P29" s="1267"/>
    </row>
    <row r="30" spans="1:16" ht="13.5" customHeight="1">
      <c r="A30" s="568" t="s">
        <v>1123</v>
      </c>
      <c r="B30" s="569"/>
      <c r="C30" s="570" t="s">
        <v>114</v>
      </c>
      <c r="D30" s="186">
        <f>SUM(D20:D29)</f>
        <v>0</v>
      </c>
      <c r="E30" s="186">
        <f>E20+SUM(E22:E29)</f>
        <v>0</v>
      </c>
      <c r="F30" s="190">
        <f>F20+SUM(F22:F29)</f>
        <v>0</v>
      </c>
      <c r="G30" s="190">
        <f>G20+SUM(G22:G29)</f>
        <v>0</v>
      </c>
      <c r="H30" s="190">
        <f>H20+SUM(H22:H29)</f>
        <v>0</v>
      </c>
      <c r="I30" s="190">
        <f>I20+SUM(I22:I29)</f>
        <v>0</v>
      </c>
      <c r="J30" s="571"/>
      <c r="K30" s="190">
        <f>K20+SUM(K22:K29)</f>
        <v>0</v>
      </c>
      <c r="L30" s="190">
        <f>SUM(L20:L29)</f>
        <v>0</v>
      </c>
      <c r="M30" s="190">
        <f>SUM(M20:M29)</f>
        <v>0</v>
      </c>
      <c r="N30" s="179">
        <f t="shared" si="3"/>
        <v>0</v>
      </c>
      <c r="O30" s="327" t="s">
        <v>114</v>
      </c>
      <c r="P30" s="1267"/>
    </row>
    <row r="31" spans="1:16" ht="9" customHeight="1"/>
    <row r="33" s="97" customFormat="1"/>
    <row r="34" s="97" customFormat="1"/>
    <row r="35" s="97" customFormat="1"/>
    <row r="36" s="97" customFormat="1"/>
    <row r="37" s="97" customFormat="1"/>
    <row r="38" s="97" customFormat="1"/>
    <row r="39" s="97" customFormat="1"/>
    <row r="40" s="97" customFormat="1"/>
    <row r="41" s="97" customFormat="1"/>
    <row r="42" s="97" customFormat="1"/>
    <row r="43" s="97" customFormat="1"/>
    <row r="44" s="97" customFormat="1"/>
    <row r="45" s="97" customFormat="1"/>
    <row r="46" s="97" customFormat="1"/>
    <row r="47" s="97" customFormat="1"/>
    <row r="48" s="97" customForma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900-000000000000}"/>
  </hyperlinks>
  <printOptions horizontalCentered="1"/>
  <pageMargins left="0.25" right="0.25" top="0.25" bottom="0.25" header="0" footer="0.15"/>
  <pageSetup paperSize="5" scale="92" orientation="landscape" r:id="rId1"/>
  <headerFooter alignWithMargins="0">
    <oddFooter>&amp;L&amp;"Times New Roman,Bold"&amp;9Rev. 5/26&amp;K000000 Arizona Department of Education and Auditor General&amp;C&amp;"Times New Roman,Regular"&amp;9&amp;D  &amp;T</oddFooter>
  </headerFooter>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V271"/>
  <sheetViews>
    <sheetView showGridLines="0" workbookViewId="0">
      <selection activeCell="N24" sqref="N24"/>
    </sheetView>
  </sheetViews>
  <sheetFormatPr defaultColWidth="8.54296875" defaultRowHeight="10.199999999999999"/>
  <cols>
    <col min="1" max="1" width="28.81640625" style="577" customWidth="1"/>
    <col min="2" max="2" width="9.1796875" style="577" customWidth="1"/>
    <col min="3" max="3" width="10.1796875" style="577" customWidth="1"/>
    <col min="4" max="8" width="8.81640625" style="577" customWidth="1"/>
    <col min="9" max="9" width="10" style="577" customWidth="1"/>
    <col min="10" max="10" width="2" style="577" customWidth="1"/>
    <col min="11" max="11" width="10" style="577" customWidth="1"/>
    <col min="12" max="12" width="8.81640625" style="577" customWidth="1"/>
    <col min="13" max="255" width="5.81640625" style="577" customWidth="1"/>
    <col min="256" max="261" width="8.54296875" style="577" customWidth="1"/>
    <col min="262" max="16384" width="8.54296875" style="577"/>
  </cols>
  <sheetData>
    <row r="1" spans="1:22" ht="15">
      <c r="A1" s="573" t="str">
        <f>IF(OR(Version="Proposed",Version=""),"Summary of School District Proposed Expenditure Budget",IF(Version="Adopted","Summary of School District Adopted Expenditure Budget","Summary of School District Revised Expenditure Budget"))</f>
        <v>Summary of School District Proposed Expenditure Budget</v>
      </c>
      <c r="B1" s="1136"/>
      <c r="C1" s="1136"/>
      <c r="D1" s="1136"/>
      <c r="E1" s="1136"/>
      <c r="F1" s="573"/>
      <c r="G1" s="573"/>
      <c r="H1" s="1136" t="s">
        <v>57</v>
      </c>
      <c r="I1" s="574" t="str">
        <f>CTD</f>
        <v>110424000</v>
      </c>
      <c r="J1" s="575"/>
      <c r="K1" s="576" t="s">
        <v>312</v>
      </c>
      <c r="L1" s="149"/>
    </row>
    <row r="2" spans="1:22" ht="12" customHeight="1">
      <c r="B2" s="1293"/>
      <c r="C2" s="1293"/>
      <c r="D2" s="1293"/>
      <c r="E2" s="1293"/>
      <c r="F2" s="1293"/>
      <c r="G2" s="1293"/>
      <c r="H2" s="1137" t="s">
        <v>16</v>
      </c>
      <c r="I2" s="578" t="str">
        <f>Cover!C8</f>
        <v>Proposed</v>
      </c>
      <c r="J2" s="303"/>
      <c r="K2" s="576" t="s">
        <v>313</v>
      </c>
      <c r="L2" s="576" t="s">
        <v>314</v>
      </c>
      <c r="M2" s="303"/>
      <c r="N2" s="303"/>
      <c r="O2" s="303"/>
      <c r="P2" s="303"/>
      <c r="Q2" s="303"/>
      <c r="R2" s="303"/>
      <c r="S2" s="303"/>
      <c r="T2" s="303"/>
      <c r="U2" s="303"/>
      <c r="V2" s="303"/>
    </row>
    <row r="3" spans="1:22" ht="15" customHeight="1">
      <c r="A3" s="579" t="s">
        <v>315</v>
      </c>
      <c r="B3" s="1734" t="s">
        <v>1408</v>
      </c>
      <c r="C3" s="1734"/>
      <c r="D3" s="1711"/>
      <c r="E3" s="580" t="s">
        <v>316</v>
      </c>
      <c r="F3" s="89" t="s">
        <v>1401</v>
      </c>
      <c r="G3" s="1733" t="s">
        <v>1340</v>
      </c>
      <c r="H3" s="1733"/>
      <c r="I3" s="1733"/>
      <c r="J3" s="303"/>
      <c r="K3" s="576" t="s">
        <v>317</v>
      </c>
      <c r="L3" s="581" t="s">
        <v>318</v>
      </c>
      <c r="M3" s="303"/>
      <c r="N3" s="303"/>
      <c r="O3" s="303"/>
      <c r="P3" s="303"/>
      <c r="Q3" s="303"/>
      <c r="R3" s="303"/>
      <c r="S3" s="303"/>
      <c r="T3" s="303"/>
      <c r="U3" s="303"/>
      <c r="V3" s="303"/>
    </row>
    <row r="4" spans="1:22" ht="12" customHeight="1">
      <c r="A4" s="579" t="str">
        <f>IF(OR(I2="Proposed",I2=0),K1,IF(I2="Adopted",L2,K2))</f>
        <v>proposed by the Governing Board on,</v>
      </c>
      <c r="C4" s="1532" t="str">
        <f>IF(ISNUMBER(SEARCH("Revised*",I2)),Cover!E15,IF(ISNUMBER(SEARCH("Proposed*",I2)),Cover!E13,IF(ISNUMBER(SEARCH("Adopted*",I2)),Cover!E14,"")))</f>
        <v>June 24,2026</v>
      </c>
      <c r="D4" s="1735" t="str">
        <f>IF(OR(I2="Proposed",I2=0),K3,IF(I2="Adopted",L3,K4))</f>
        <v>, and that the complete Proposed Expenditure Budget may be reviewed by contacting</v>
      </c>
      <c r="E4" s="1735">
        <f>IF(ISNUMBER(SEARCH("Revised*",M2)),O2,O1)</f>
        <v>0</v>
      </c>
      <c r="F4" s="1735">
        <f>IF(ISNUMBER(SEARCH("Revised*",N2)),P2,P1)</f>
        <v>0</v>
      </c>
      <c r="G4" s="1735">
        <f>IF(ISNUMBER(SEARCH("Revised*",O2)),Q2,Q1)</f>
        <v>0</v>
      </c>
      <c r="H4" s="1735">
        <f>IF(ISNUMBER(SEARCH("Revised*",P2)),R2,R1)</f>
        <v>0</v>
      </c>
      <c r="I4" s="1735">
        <f>IF(ISNUMBER(SEARCH("Revised*",Q2)),S2,S1)</f>
        <v>0</v>
      </c>
      <c r="J4" s="303"/>
      <c r="K4" s="576" t="s">
        <v>319</v>
      </c>
      <c r="L4" s="582"/>
      <c r="M4" s="303"/>
      <c r="N4" s="303"/>
      <c r="O4" s="303"/>
      <c r="P4" s="303"/>
      <c r="Q4" s="303"/>
      <c r="R4" s="303"/>
      <c r="S4" s="303"/>
      <c r="T4" s="303"/>
      <c r="U4" s="303"/>
      <c r="V4" s="303"/>
    </row>
    <row r="5" spans="1:22" ht="12" customHeight="1">
      <c r="A5" s="33" t="s">
        <v>1405</v>
      </c>
      <c r="B5" s="1738" t="s">
        <v>1028</v>
      </c>
      <c r="C5" s="1739"/>
      <c r="D5" s="1710" t="s">
        <v>1406</v>
      </c>
      <c r="E5" s="1711"/>
      <c r="F5" s="1735" t="s">
        <v>320</v>
      </c>
      <c r="G5" s="1735"/>
      <c r="H5" s="1735"/>
      <c r="I5" s="1737" t="str">
        <f>IF(I10&lt;1,"Enter average salaries on Budget Cover","")</f>
        <v/>
      </c>
      <c r="K5" s="1704" t="str">
        <f>IF(AND(ISNUMBER(SEARCH("Revised*",I2)),Cover!E15=""),"Enter revised date on Budget Cover",IF(AND(ISNUMBER(SEARCH("Proposed*",I2)),Cover!E13=""),"Enter proposed date on Budget Cover",""))</f>
        <v/>
      </c>
      <c r="L5" s="303"/>
      <c r="M5" s="303"/>
      <c r="N5" s="303"/>
      <c r="O5" s="303"/>
      <c r="P5" s="303"/>
      <c r="Q5" s="303"/>
      <c r="R5" s="303"/>
      <c r="S5" s="303"/>
      <c r="T5" s="303"/>
      <c r="U5" s="303"/>
      <c r="V5" s="303"/>
    </row>
    <row r="6" spans="1:22" ht="11.4">
      <c r="A6" s="583"/>
      <c r="B6" s="583"/>
      <c r="C6" s="584"/>
      <c r="D6" s="584"/>
      <c r="E6" s="1736"/>
      <c r="F6" s="1736"/>
      <c r="G6" s="1736"/>
      <c r="H6" s="583"/>
      <c r="I6" s="1737"/>
      <c r="J6" s="585"/>
      <c r="K6" s="1704"/>
      <c r="L6" s="303"/>
      <c r="M6" s="303"/>
      <c r="N6" s="303"/>
      <c r="O6" s="303"/>
      <c r="P6" s="303"/>
      <c r="Q6" s="303"/>
      <c r="R6" s="303"/>
      <c r="S6" s="303"/>
      <c r="T6" s="303"/>
      <c r="U6" s="303"/>
      <c r="V6" s="303"/>
    </row>
    <row r="7" spans="1:22" ht="13.2">
      <c r="A7" s="1473" t="s">
        <v>692</v>
      </c>
      <c r="C7" s="584"/>
      <c r="D7" s="584"/>
      <c r="E7" s="1720" t="s">
        <v>321</v>
      </c>
      <c r="F7" s="1720"/>
      <c r="G7" s="1720"/>
      <c r="H7" s="583"/>
      <c r="I7" s="1737"/>
      <c r="J7" s="585"/>
      <c r="K7" s="1704"/>
      <c r="L7" s="303"/>
      <c r="M7" s="303"/>
      <c r="N7" s="303"/>
      <c r="O7" s="303"/>
      <c r="P7" s="303"/>
      <c r="Q7" s="303"/>
      <c r="R7" s="303"/>
      <c r="S7" s="303"/>
      <c r="T7" s="303"/>
      <c r="U7" s="303"/>
      <c r="V7" s="303"/>
    </row>
    <row r="8" spans="1:22" ht="6" customHeight="1">
      <c r="A8" s="586"/>
      <c r="B8" s="586"/>
      <c r="C8" s="586"/>
      <c r="D8" s="586"/>
      <c r="E8" s="586"/>
      <c r="F8" s="586"/>
      <c r="G8" s="583"/>
      <c r="H8" s="583"/>
      <c r="I8" s="583"/>
      <c r="J8" s="303"/>
      <c r="K8" s="303"/>
      <c r="L8" s="303"/>
      <c r="M8" s="303"/>
      <c r="N8" s="303"/>
      <c r="O8" s="303"/>
      <c r="P8" s="303"/>
      <c r="Q8" s="303"/>
      <c r="R8" s="303"/>
      <c r="S8" s="303"/>
      <c r="T8" s="303"/>
      <c r="U8" s="303"/>
      <c r="V8" s="303"/>
    </row>
    <row r="9" spans="1:22" ht="11.25" customHeight="1">
      <c r="A9" s="587" t="s">
        <v>1124</v>
      </c>
      <c r="B9" s="588"/>
      <c r="C9" s="1181" t="s">
        <v>322</v>
      </c>
      <c r="D9" s="1182" t="s">
        <v>323</v>
      </c>
      <c r="E9" s="589" t="s">
        <v>324</v>
      </c>
      <c r="F9" s="590"/>
      <c r="G9" s="591"/>
      <c r="H9" s="591"/>
      <c r="I9" s="592"/>
      <c r="J9" s="303"/>
      <c r="K9" s="303"/>
      <c r="L9" s="303"/>
      <c r="M9" s="303"/>
      <c r="N9" s="303"/>
      <c r="O9" s="303"/>
      <c r="P9" s="303"/>
      <c r="Q9" s="303"/>
      <c r="R9" s="303"/>
      <c r="S9" s="303"/>
      <c r="T9" s="303"/>
      <c r="U9" s="303"/>
      <c r="V9" s="303"/>
    </row>
    <row r="10" spans="1:22" ht="10.5" customHeight="1">
      <c r="A10" s="593"/>
      <c r="B10" s="1180" t="s">
        <v>1341</v>
      </c>
      <c r="C10" s="1180" t="s">
        <v>1342</v>
      </c>
      <c r="D10" s="1179" t="s">
        <v>1343</v>
      </c>
      <c r="E10" s="1178" t="s">
        <v>1344</v>
      </c>
      <c r="F10" s="594"/>
      <c r="G10" s="595"/>
      <c r="H10" s="96"/>
      <c r="I10" s="596">
        <f>BudgetYearSalary</f>
        <v>45320</v>
      </c>
      <c r="J10" s="303"/>
      <c r="K10" s="303"/>
      <c r="L10" s="303"/>
      <c r="M10" s="303"/>
      <c r="N10" s="303"/>
      <c r="O10" s="303"/>
      <c r="P10" s="303"/>
      <c r="Q10" s="303"/>
      <c r="R10" s="303"/>
      <c r="S10" s="303"/>
      <c r="T10" s="303"/>
      <c r="U10" s="303"/>
      <c r="V10" s="303"/>
    </row>
    <row r="11" spans="1:22" ht="10.5" customHeight="1">
      <c r="A11" s="1716" t="s">
        <v>325</v>
      </c>
      <c r="B11" s="597"/>
      <c r="C11" s="597"/>
      <c r="D11" s="598"/>
      <c r="E11" s="1178" t="s">
        <v>1345</v>
      </c>
      <c r="F11" s="594"/>
      <c r="G11" s="595"/>
      <c r="H11" s="96"/>
      <c r="I11" s="596">
        <f>PriorYearSalary</f>
        <v>44000</v>
      </c>
      <c r="J11" s="303"/>
      <c r="K11" s="303"/>
      <c r="M11" s="599"/>
      <c r="N11" s="303"/>
      <c r="O11" s="303"/>
      <c r="P11" s="303"/>
      <c r="Q11" s="303"/>
      <c r="R11" s="303"/>
      <c r="S11" s="303"/>
      <c r="T11" s="303"/>
      <c r="U11" s="303"/>
      <c r="V11" s="303"/>
    </row>
    <row r="12" spans="1:22" ht="11.25" customHeight="1">
      <c r="A12" s="1717"/>
      <c r="B12" s="1063">
        <v>328.01620000000003</v>
      </c>
      <c r="C12" s="1063">
        <f>+'Data Entry'!J29</f>
        <v>325.67509999999999</v>
      </c>
      <c r="D12" s="1064">
        <f>+TotalNonAOIStudCntCY</f>
        <v>335.5</v>
      </c>
      <c r="E12" s="600" t="s">
        <v>326</v>
      </c>
      <c r="F12" s="594"/>
      <c r="G12" s="595"/>
      <c r="H12" s="96"/>
      <c r="I12" s="601">
        <f>SalaryIncrease</f>
        <v>1320</v>
      </c>
      <c r="J12" s="303"/>
      <c r="K12" s="303"/>
      <c r="L12" s="303"/>
      <c r="M12" s="303"/>
      <c r="N12" s="303"/>
      <c r="O12" s="303"/>
      <c r="P12" s="303"/>
      <c r="Q12" s="303"/>
      <c r="R12" s="303"/>
      <c r="S12" s="303"/>
      <c r="T12" s="303"/>
      <c r="U12" s="303"/>
      <c r="V12" s="303"/>
    </row>
    <row r="13" spans="1:22" ht="10.5" customHeight="1">
      <c r="A13" s="602" t="s">
        <v>1125</v>
      </c>
      <c r="B13" s="603"/>
      <c r="C13" s="1299" t="s">
        <v>129</v>
      </c>
      <c r="D13" s="1300" t="s">
        <v>327</v>
      </c>
      <c r="E13" s="600" t="s">
        <v>328</v>
      </c>
      <c r="F13" s="594"/>
      <c r="G13" s="595"/>
      <c r="H13" s="96"/>
      <c r="I13" s="604">
        <f>PercentageIncrease</f>
        <v>0.03</v>
      </c>
      <c r="J13" s="303"/>
      <c r="K13" s="303"/>
      <c r="L13" s="303"/>
      <c r="M13" s="303"/>
      <c r="N13" s="303"/>
      <c r="O13" s="303"/>
      <c r="P13" s="303"/>
      <c r="Q13" s="303"/>
      <c r="R13" s="303"/>
      <c r="S13" s="303"/>
      <c r="T13" s="303"/>
      <c r="U13" s="303"/>
      <c r="V13" s="303"/>
    </row>
    <row r="14" spans="1:22" ht="10.5" customHeight="1">
      <c r="A14" s="1718" t="s">
        <v>329</v>
      </c>
      <c r="B14" s="1719"/>
      <c r="C14" s="1109"/>
      <c r="D14" s="1109"/>
      <c r="E14" s="1108"/>
      <c r="I14" s="605"/>
      <c r="J14" s="303"/>
      <c r="K14" s="584"/>
      <c r="P14" s="303"/>
      <c r="Q14" s="303"/>
      <c r="R14" s="303"/>
      <c r="S14" s="303"/>
      <c r="T14" s="303"/>
      <c r="U14" s="303"/>
      <c r="V14" s="303"/>
    </row>
    <row r="15" spans="1:22" ht="10.5" customHeight="1">
      <c r="A15" s="1718"/>
      <c r="B15" s="1719"/>
      <c r="C15" s="1110"/>
      <c r="D15" s="1111"/>
      <c r="E15" s="1721" t="str">
        <f>IF(SalaryComments="","",SalaryComments)</f>
        <v xml:space="preserve">Comments on average salary calculation (optional): </v>
      </c>
      <c r="F15" s="1721"/>
      <c r="G15" s="1721"/>
      <c r="H15" s="1721"/>
      <c r="I15" s="1722"/>
      <c r="J15" s="303"/>
      <c r="K15" s="606"/>
      <c r="P15" s="303"/>
      <c r="Q15" s="303"/>
      <c r="R15" s="303"/>
      <c r="S15" s="303"/>
      <c r="T15" s="303"/>
      <c r="U15" s="303"/>
      <c r="V15" s="303"/>
    </row>
    <row r="16" spans="1:22" ht="9.75" customHeight="1">
      <c r="A16" s="1718"/>
      <c r="B16" s="1719"/>
      <c r="C16" s="1183">
        <f>PrimTaxRateCurrFY</f>
        <v>2.2000000000000002</v>
      </c>
      <c r="D16" s="1184">
        <f>EstTaxRateBudgFY</f>
        <v>2.2000000000000002</v>
      </c>
      <c r="E16" s="1723"/>
      <c r="F16" s="1723"/>
      <c r="G16" s="1723"/>
      <c r="H16" s="1723"/>
      <c r="I16" s="1724"/>
      <c r="J16" s="303"/>
      <c r="K16" s="606"/>
      <c r="P16" s="303"/>
      <c r="Q16" s="303"/>
      <c r="R16" s="303"/>
      <c r="S16" s="303"/>
      <c r="T16" s="303"/>
      <c r="U16" s="303"/>
      <c r="V16" s="303"/>
    </row>
    <row r="17" spans="1:22" ht="9.75" customHeight="1">
      <c r="A17" s="1712" t="s">
        <v>1126</v>
      </c>
      <c r="B17" s="1713"/>
      <c r="C17" s="1109"/>
      <c r="D17" s="1109"/>
      <c r="E17" s="1723"/>
      <c r="F17" s="1723"/>
      <c r="G17" s="1723"/>
      <c r="H17" s="1723"/>
      <c r="I17" s="1724"/>
      <c r="J17" s="303"/>
      <c r="K17" s="606"/>
      <c r="P17" s="303"/>
      <c r="Q17" s="303"/>
      <c r="R17" s="303"/>
      <c r="S17" s="303"/>
      <c r="T17" s="303"/>
      <c r="U17" s="303"/>
      <c r="V17" s="303"/>
    </row>
    <row r="18" spans="1:22" ht="11.25" customHeight="1">
      <c r="A18" s="1712"/>
      <c r="B18" s="1713"/>
      <c r="C18" s="1111"/>
      <c r="D18" s="1111"/>
      <c r="E18" s="1723"/>
      <c r="F18" s="1723"/>
      <c r="G18" s="1723"/>
      <c r="H18" s="1723"/>
      <c r="I18" s="1724"/>
      <c r="J18" s="303"/>
      <c r="K18" s="303"/>
      <c r="P18" s="303"/>
      <c r="Q18" s="303"/>
      <c r="R18" s="303"/>
      <c r="S18" s="303"/>
      <c r="T18" s="303"/>
      <c r="U18" s="303"/>
      <c r="V18" s="303"/>
    </row>
    <row r="19" spans="1:22" ht="11.25" customHeight="1">
      <c r="A19" s="1714"/>
      <c r="B19" s="1715"/>
      <c r="C19" s="1184">
        <f>TotSecTaxRateCurrFY</f>
        <v>0.72</v>
      </c>
      <c r="D19" s="1184">
        <f>TotSecTaxRateBudgFY</f>
        <v>0.72</v>
      </c>
      <c r="E19" s="1723"/>
      <c r="F19" s="1723"/>
      <c r="G19" s="1723"/>
      <c r="H19" s="1723"/>
      <c r="I19" s="1724"/>
      <c r="J19" s="303"/>
      <c r="K19" s="303"/>
      <c r="L19" s="303"/>
      <c r="M19" s="303"/>
      <c r="N19" s="303"/>
      <c r="O19" s="303"/>
      <c r="P19" s="303"/>
      <c r="Q19" s="303"/>
      <c r="R19" s="303"/>
      <c r="S19" s="303"/>
      <c r="T19" s="303"/>
      <c r="U19" s="303"/>
      <c r="V19" s="303"/>
    </row>
    <row r="20" spans="1:22" ht="10.5" customHeight="1">
      <c r="A20" s="602" t="s">
        <v>1029</v>
      </c>
      <c r="B20" s="1708" t="s">
        <v>1041</v>
      </c>
      <c r="C20" s="1729" t="s">
        <v>1062</v>
      </c>
      <c r="D20" s="1731" t="s">
        <v>1063</v>
      </c>
      <c r="E20" s="1725"/>
      <c r="F20" s="1723"/>
      <c r="G20" s="1723"/>
      <c r="H20" s="1723"/>
      <c r="I20" s="1724"/>
      <c r="J20" s="303"/>
      <c r="K20" s="303"/>
      <c r="L20" s="303"/>
      <c r="M20" s="303"/>
      <c r="N20" s="303"/>
      <c r="O20" s="303"/>
      <c r="P20" s="303"/>
      <c r="Q20" s="303"/>
      <c r="R20" s="303"/>
      <c r="S20" s="303"/>
      <c r="T20" s="303"/>
      <c r="U20" s="303"/>
      <c r="V20" s="303"/>
    </row>
    <row r="21" spans="1:22" ht="10.5" customHeight="1">
      <c r="A21" s="607"/>
      <c r="B21" s="1709"/>
      <c r="C21" s="1730"/>
      <c r="D21" s="1732"/>
      <c r="E21" s="1725"/>
      <c r="F21" s="1723"/>
      <c r="G21" s="1723"/>
      <c r="H21" s="1723"/>
      <c r="I21" s="1724"/>
      <c r="J21" s="303"/>
      <c r="K21" s="303"/>
      <c r="L21" s="303"/>
      <c r="M21" s="303"/>
      <c r="N21" s="303"/>
      <c r="O21" s="303"/>
      <c r="P21" s="303"/>
      <c r="Q21" s="303"/>
      <c r="R21" s="303"/>
      <c r="S21" s="303"/>
      <c r="T21" s="303"/>
      <c r="U21" s="303"/>
      <c r="V21" s="303"/>
    </row>
    <row r="22" spans="1:22" ht="10.5" customHeight="1">
      <c r="A22" s="586" t="s">
        <v>330</v>
      </c>
      <c r="B22" s="608">
        <f>F001TotalExp</f>
        <v>4020394</v>
      </c>
      <c r="C22" s="608">
        <f>F001Carryforward</f>
        <v>503178</v>
      </c>
      <c r="D22" s="609">
        <f>GBLBudgFY</f>
        <v>4523572</v>
      </c>
      <c r="E22" s="1725"/>
      <c r="F22" s="1723"/>
      <c r="G22" s="1723"/>
      <c r="H22" s="1723"/>
      <c r="I22" s="1724"/>
      <c r="J22" s="303"/>
      <c r="K22" s="303"/>
      <c r="L22" s="303"/>
      <c r="M22" s="303"/>
      <c r="N22" s="303"/>
      <c r="O22" s="303"/>
      <c r="P22" s="303"/>
      <c r="Q22" s="303"/>
      <c r="R22" s="303"/>
      <c r="S22" s="303"/>
      <c r="T22" s="303"/>
      <c r="U22" s="303"/>
      <c r="V22" s="303"/>
    </row>
    <row r="23" spans="1:22" ht="10.5" customHeight="1">
      <c r="A23" s="586" t="s">
        <v>331</v>
      </c>
      <c r="B23" s="610">
        <f>F010TotalExp</f>
        <v>2654951</v>
      </c>
      <c r="C23" s="610">
        <f>F010Carryforward</f>
        <v>0</v>
      </c>
      <c r="D23" s="611">
        <f>'Page 3'!CSFBLBudgFY</f>
        <v>2654951</v>
      </c>
      <c r="E23" s="1725"/>
      <c r="F23" s="1723"/>
      <c r="G23" s="1723"/>
      <c r="H23" s="1723"/>
      <c r="I23" s="1724"/>
      <c r="J23" s="303"/>
      <c r="K23" s="303"/>
      <c r="L23" s="303"/>
      <c r="M23" s="303"/>
      <c r="N23" s="303"/>
      <c r="O23" s="303"/>
      <c r="P23" s="303"/>
      <c r="Q23" s="303"/>
      <c r="R23" s="303"/>
      <c r="S23" s="303"/>
      <c r="T23" s="303"/>
      <c r="U23" s="303"/>
      <c r="V23" s="303"/>
    </row>
    <row r="24" spans="1:22" ht="10.5" customHeight="1">
      <c r="A24" s="1434" t="s">
        <v>332</v>
      </c>
      <c r="B24" s="612">
        <f>F610TotalBudgFY</f>
        <v>360248</v>
      </c>
      <c r="C24" s="612">
        <f>F610Carryforward</f>
        <v>65473</v>
      </c>
      <c r="D24" s="612">
        <f>UCBLBudgFY</f>
        <v>425721</v>
      </c>
      <c r="E24" s="1726"/>
      <c r="F24" s="1727"/>
      <c r="G24" s="1727"/>
      <c r="H24" s="1727"/>
      <c r="I24" s="1728"/>
      <c r="J24" s="303"/>
      <c r="K24" s="303"/>
      <c r="L24" s="303"/>
      <c r="M24" s="303"/>
      <c r="N24" s="303"/>
      <c r="O24" s="303"/>
      <c r="P24" s="303"/>
      <c r="Q24" s="303"/>
      <c r="R24" s="303"/>
      <c r="S24" s="303"/>
      <c r="T24" s="303"/>
      <c r="U24" s="303"/>
      <c r="V24" s="303"/>
    </row>
    <row r="25" spans="1:22" ht="9" customHeight="1">
      <c r="B25" s="1274"/>
      <c r="C25" s="613"/>
      <c r="J25" s="303"/>
      <c r="K25" s="303"/>
      <c r="L25" s="303"/>
      <c r="M25" s="303"/>
      <c r="N25" s="303"/>
      <c r="O25" s="303"/>
      <c r="P25" s="303"/>
      <c r="Q25" s="303"/>
      <c r="R25" s="303"/>
      <c r="S25" s="303"/>
      <c r="T25" s="303"/>
      <c r="U25" s="303"/>
      <c r="V25" s="303"/>
    </row>
    <row r="26" spans="1:22" ht="8.25" customHeight="1">
      <c r="A26" s="614"/>
      <c r="B26" s="614"/>
      <c r="C26" s="615"/>
      <c r="D26" s="615"/>
      <c r="E26" s="615"/>
      <c r="F26" s="615"/>
      <c r="G26" s="615"/>
      <c r="H26" s="615"/>
      <c r="I26" s="616"/>
      <c r="J26" s="303"/>
      <c r="K26" s="303"/>
      <c r="L26" s="303"/>
      <c r="M26" s="303"/>
      <c r="N26" s="303"/>
      <c r="O26" s="303"/>
      <c r="P26" s="303"/>
      <c r="Q26" s="303"/>
      <c r="R26" s="303"/>
      <c r="S26" s="303"/>
      <c r="T26" s="303"/>
      <c r="U26" s="303"/>
      <c r="V26" s="303"/>
    </row>
    <row r="27" spans="1:22" ht="11.4">
      <c r="A27" s="1705" t="s">
        <v>1127</v>
      </c>
      <c r="B27" s="1706"/>
      <c r="C27" s="1706"/>
      <c r="D27" s="1706"/>
      <c r="E27" s="1706"/>
      <c r="F27" s="1706"/>
      <c r="G27" s="1706"/>
      <c r="H27" s="1706"/>
      <c r="I27" s="1707"/>
      <c r="J27" s="303"/>
      <c r="K27" s="303"/>
      <c r="L27" s="303"/>
      <c r="M27" s="303"/>
      <c r="N27" s="303"/>
      <c r="O27" s="303"/>
      <c r="P27" s="303"/>
      <c r="Q27" s="303"/>
      <c r="R27" s="303"/>
      <c r="S27" s="303"/>
      <c r="T27" s="303"/>
      <c r="U27" s="303"/>
      <c r="V27" s="303"/>
    </row>
    <row r="28" spans="1:22" ht="11.4">
      <c r="A28" s="593"/>
      <c r="B28" s="617"/>
      <c r="C28" s="618"/>
      <c r="D28" s="619"/>
      <c r="E28" s="620"/>
      <c r="F28" s="621"/>
      <c r="G28" s="622" t="s">
        <v>42</v>
      </c>
      <c r="H28" s="623"/>
      <c r="I28" s="624" t="s">
        <v>333</v>
      </c>
      <c r="J28" s="303"/>
      <c r="K28" s="303"/>
      <c r="L28" s="303"/>
      <c r="M28" s="303"/>
      <c r="N28" s="303"/>
      <c r="O28" s="303"/>
      <c r="P28" s="303"/>
      <c r="Q28" s="303"/>
      <c r="R28" s="303"/>
      <c r="S28" s="303"/>
      <c r="T28" s="303"/>
      <c r="U28" s="303"/>
      <c r="V28" s="303"/>
    </row>
    <row r="29" spans="1:22" ht="11.4">
      <c r="A29" s="593"/>
      <c r="B29" s="586"/>
      <c r="C29" s="625" t="s">
        <v>1128</v>
      </c>
      <c r="D29" s="626"/>
      <c r="E29" s="627" t="s">
        <v>83</v>
      </c>
      <c r="F29" s="628"/>
      <c r="G29" s="626" t="s">
        <v>334</v>
      </c>
      <c r="H29" s="629"/>
      <c r="I29" s="630" t="s">
        <v>335</v>
      </c>
      <c r="J29" s="303"/>
      <c r="K29" s="303"/>
      <c r="L29" s="303"/>
      <c r="M29" s="303"/>
      <c r="N29" s="303"/>
      <c r="O29" s="303"/>
      <c r="P29" s="303"/>
      <c r="Q29" s="303"/>
      <c r="R29" s="303"/>
      <c r="S29" s="303"/>
      <c r="T29" s="303"/>
      <c r="U29" s="303"/>
      <c r="V29" s="303"/>
    </row>
    <row r="30" spans="1:22" ht="11.4">
      <c r="A30" s="593"/>
      <c r="B30" s="586"/>
      <c r="C30" s="624" t="s">
        <v>129</v>
      </c>
      <c r="D30" s="624" t="s">
        <v>130</v>
      </c>
      <c r="E30" s="630" t="s">
        <v>129</v>
      </c>
      <c r="F30" s="630" t="s">
        <v>130</v>
      </c>
      <c r="G30" s="624" t="s">
        <v>129</v>
      </c>
      <c r="H30" s="624" t="s">
        <v>130</v>
      </c>
      <c r="I30" s="630" t="s">
        <v>1129</v>
      </c>
      <c r="J30" s="303"/>
      <c r="K30" s="303"/>
      <c r="L30" s="303"/>
      <c r="M30" s="303"/>
      <c r="N30" s="303"/>
      <c r="O30" s="303"/>
      <c r="P30" s="303"/>
      <c r="Q30" s="303"/>
      <c r="R30" s="303"/>
      <c r="S30" s="303"/>
      <c r="T30" s="303"/>
      <c r="U30" s="303"/>
      <c r="V30" s="303"/>
    </row>
    <row r="31" spans="1:22" ht="7.5" customHeight="1">
      <c r="A31" s="593"/>
      <c r="B31" s="586"/>
      <c r="C31" s="1112"/>
      <c r="D31" s="1112"/>
      <c r="E31" s="1112"/>
      <c r="F31" s="1112"/>
      <c r="G31" s="1112"/>
      <c r="H31" s="1112"/>
      <c r="I31" s="1112"/>
      <c r="J31" s="303"/>
      <c r="K31" s="303"/>
      <c r="L31" s="303"/>
      <c r="M31" s="303"/>
      <c r="N31" s="303"/>
      <c r="O31" s="303"/>
      <c r="P31" s="303"/>
      <c r="Q31" s="303"/>
      <c r="R31" s="303"/>
      <c r="S31" s="303"/>
      <c r="T31" s="303"/>
      <c r="U31" s="303"/>
      <c r="V31" s="303"/>
    </row>
    <row r="32" spans="1:22" ht="12.75" customHeight="1">
      <c r="A32" s="607" t="s">
        <v>1030</v>
      </c>
      <c r="B32" s="586"/>
      <c r="C32" s="1109"/>
      <c r="D32" s="1109"/>
      <c r="E32" s="1109"/>
      <c r="F32" s="1109"/>
      <c r="G32" s="1109"/>
      <c r="H32" s="1109"/>
      <c r="I32" s="1109"/>
      <c r="J32" s="303"/>
      <c r="K32" s="303"/>
      <c r="L32" s="303"/>
      <c r="M32" s="303"/>
      <c r="N32" s="303"/>
      <c r="O32" s="303"/>
      <c r="P32" s="303"/>
      <c r="Q32" s="303"/>
      <c r="R32" s="303"/>
      <c r="S32" s="303"/>
      <c r="T32" s="303"/>
      <c r="U32" s="303"/>
      <c r="V32" s="303"/>
    </row>
    <row r="33" spans="1:22" ht="12.75" customHeight="1">
      <c r="A33" s="607" t="s">
        <v>96</v>
      </c>
      <c r="B33" s="586"/>
      <c r="C33" s="1185">
        <f>[1]!F001P100F1000SBBudgFY</f>
        <v>1029642</v>
      </c>
      <c r="D33" s="1185">
        <f>F001P100F1000O6100+F001P100F1000O6200</f>
        <v>1029642</v>
      </c>
      <c r="E33" s="1185">
        <f>[1]!F001P100F1000OthBudgFY</f>
        <v>61400</v>
      </c>
      <c r="F33" s="1185">
        <f>F001P100F1000O630064006500+F001P100F1000O6600+F001P100F1000O6800</f>
        <v>61400</v>
      </c>
      <c r="G33" s="1185">
        <f>C33+E33</f>
        <v>1091042</v>
      </c>
      <c r="H33" s="1185">
        <f>D33+F33</f>
        <v>1091042</v>
      </c>
      <c r="I33" s="1186">
        <f>IF(G33=H33,0,IF(G33&gt;0,(H33-G33)/G33,""))</f>
        <v>0</v>
      </c>
      <c r="J33" s="303"/>
      <c r="K33" s="303"/>
      <c r="L33" s="303"/>
      <c r="M33" s="303"/>
      <c r="N33" s="303"/>
      <c r="O33" s="303"/>
      <c r="P33" s="303"/>
      <c r="Q33" s="303"/>
      <c r="R33" s="303"/>
      <c r="S33" s="303"/>
      <c r="T33" s="303"/>
      <c r="U33" s="303"/>
      <c r="V33" s="303"/>
    </row>
    <row r="34" spans="1:22" ht="12.75" customHeight="1">
      <c r="A34" s="607" t="s">
        <v>968</v>
      </c>
      <c r="B34" s="586"/>
      <c r="C34" s="1187"/>
      <c r="D34" s="1187"/>
      <c r="E34" s="1187"/>
      <c r="F34" s="1187"/>
      <c r="G34" s="1187"/>
      <c r="H34" s="1187"/>
      <c r="I34" s="1187"/>
      <c r="J34" s="303"/>
      <c r="K34" s="303"/>
      <c r="L34" s="303"/>
      <c r="M34" s="303"/>
      <c r="N34" s="303"/>
      <c r="O34" s="303"/>
      <c r="P34" s="303"/>
      <c r="Q34" s="303"/>
      <c r="R34" s="303"/>
      <c r="S34" s="303"/>
      <c r="T34" s="303"/>
      <c r="U34" s="303"/>
      <c r="V34" s="303"/>
    </row>
    <row r="35" spans="1:22" ht="12.75" customHeight="1">
      <c r="A35" s="607" t="s">
        <v>97</v>
      </c>
      <c r="B35" s="632"/>
      <c r="C35" s="1185">
        <f>[1]!F001P100F2100SBBudgFY</f>
        <v>14000</v>
      </c>
      <c r="D35" s="1185">
        <f>F001P100F2100O6100+F001P100F2100O6200</f>
        <v>14000</v>
      </c>
      <c r="E35" s="1185">
        <f>[1]!F001P100F2100OthBudgFY</f>
        <v>10200</v>
      </c>
      <c r="F35" s="1185">
        <f>F001P100F2100O630064006500+F001P100F2100O6600+F001P100F2100O6800</f>
        <v>10200</v>
      </c>
      <c r="G35" s="1185">
        <f>C35+E35</f>
        <v>24200</v>
      </c>
      <c r="H35" s="1185">
        <f>D35+F35</f>
        <v>24200</v>
      </c>
      <c r="I35" s="1186">
        <f>IF(G35=H35,0,IF(G35&gt;0,(H35-G35)/G35,""))</f>
        <v>0</v>
      </c>
      <c r="J35" s="303"/>
      <c r="K35" s="303"/>
      <c r="L35" s="303"/>
      <c r="M35" s="303"/>
      <c r="N35" s="303"/>
      <c r="O35" s="303"/>
      <c r="P35" s="303"/>
      <c r="Q35" s="303"/>
      <c r="R35" s="303"/>
      <c r="S35" s="303"/>
      <c r="T35" s="303"/>
      <c r="U35" s="303"/>
      <c r="V35" s="303"/>
    </row>
    <row r="36" spans="1:22" ht="13.5" customHeight="1">
      <c r="A36" s="633" t="s">
        <v>969</v>
      </c>
      <c r="B36" s="586"/>
      <c r="C36" s="639">
        <f>[1]!F001P100F2200SBBudgFY</f>
        <v>0</v>
      </c>
      <c r="D36" s="639">
        <f>F001P100F2200O6100+F001P100F2200O6200</f>
        <v>0</v>
      </c>
      <c r="E36" s="639">
        <f>[1]!F001P100F2200OthBudgFY</f>
        <v>44100</v>
      </c>
      <c r="F36" s="639">
        <f>F001P100F2200O630064006500+F001P100F2200O6600+F001P100F2200O6800</f>
        <v>44100</v>
      </c>
      <c r="G36" s="639">
        <f t="shared" ref="G36:H43" si="0">C36+E36</f>
        <v>44100</v>
      </c>
      <c r="H36" s="639">
        <f t="shared" si="0"/>
        <v>44100</v>
      </c>
      <c r="I36" s="648">
        <f t="shared" ref="I36:I44" si="1">IF(G36=H36,0,IF(G36&gt;0,(H36-G36)/G36,""))</f>
        <v>0</v>
      </c>
      <c r="J36" s="303"/>
      <c r="K36" s="303"/>
      <c r="L36" s="303"/>
      <c r="M36" s="303"/>
      <c r="N36" s="303"/>
      <c r="O36" s="303"/>
      <c r="P36" s="303"/>
      <c r="Q36" s="303"/>
      <c r="R36" s="303"/>
      <c r="S36" s="303"/>
      <c r="T36" s="303"/>
      <c r="U36" s="303"/>
      <c r="V36" s="303"/>
    </row>
    <row r="37" spans="1:22" ht="13.5" customHeight="1">
      <c r="A37" s="633" t="s">
        <v>336</v>
      </c>
      <c r="B37" s="637"/>
      <c r="C37" s="640">
        <f>[1]!F001P100F230024002500SBBudgFY</f>
        <v>675000</v>
      </c>
      <c r="D37" s="639">
        <f>F001P100F2300O6100+F001P100F2400O6100+F001P100F2500O6100+F001P100F2300O6200+F001P100F2400O6200+F001P100F2500O6200</f>
        <v>675000</v>
      </c>
      <c r="E37" s="640">
        <f>[1]!F001P100F230024002500OthBudgFY</f>
        <v>165200</v>
      </c>
      <c r="F37" s="639">
        <f>F001P100F2300O630064006500+F001P100F2300O6600+F001P100F2300O6800+F001P100F2400O630064006500+F001P100F2400O6600+F001P100F2400O6800+F001P100F2500O630064006500+F001P100F2500O6600+F001P100F2500O6800</f>
        <v>165200</v>
      </c>
      <c r="G37" s="640">
        <f t="shared" si="0"/>
        <v>840200</v>
      </c>
      <c r="H37" s="639">
        <f t="shared" si="0"/>
        <v>840200</v>
      </c>
      <c r="I37" s="646">
        <f t="shared" si="1"/>
        <v>0</v>
      </c>
      <c r="J37" s="303"/>
      <c r="K37" s="303"/>
      <c r="L37" s="303"/>
      <c r="M37" s="303"/>
      <c r="N37" s="303"/>
      <c r="O37" s="303"/>
      <c r="P37" s="303"/>
      <c r="Q37" s="303"/>
      <c r="R37" s="303"/>
      <c r="S37" s="303"/>
      <c r="T37" s="303"/>
      <c r="U37" s="303"/>
      <c r="V37" s="303"/>
    </row>
    <row r="38" spans="1:22" ht="12.75" customHeight="1">
      <c r="A38" s="633" t="s">
        <v>1031</v>
      </c>
      <c r="B38" s="638"/>
      <c r="C38" s="640">
        <f>[1]!F001P100F2600SBBudgFY</f>
        <v>307374</v>
      </c>
      <c r="D38" s="639">
        <f>F001P100F2600O6100+F001P100F2600O6200</f>
        <v>307374</v>
      </c>
      <c r="E38" s="640">
        <f>[1]!F001P100F2600OthBudgFY</f>
        <v>425000</v>
      </c>
      <c r="F38" s="640">
        <f>F001P100F2600O630064006500+F001P100F2600O6600+F001P100F2600O6800</f>
        <v>425000</v>
      </c>
      <c r="G38" s="640">
        <f t="shared" si="0"/>
        <v>732374</v>
      </c>
      <c r="H38" s="639">
        <f t="shared" si="0"/>
        <v>732374</v>
      </c>
      <c r="I38" s="646">
        <f t="shared" si="1"/>
        <v>0</v>
      </c>
      <c r="J38" s="303"/>
      <c r="K38" s="303"/>
      <c r="L38" s="303"/>
      <c r="M38" s="303"/>
      <c r="N38" s="303"/>
      <c r="O38" s="303"/>
      <c r="P38" s="303"/>
      <c r="Q38" s="303"/>
      <c r="R38" s="303"/>
      <c r="S38" s="303"/>
      <c r="T38" s="303"/>
      <c r="U38" s="303"/>
      <c r="V38" s="303"/>
    </row>
    <row r="39" spans="1:22" ht="13.5" customHeight="1">
      <c r="A39" s="607" t="s">
        <v>337</v>
      </c>
      <c r="B39" s="586"/>
      <c r="C39" s="640">
        <f>[1]!F001P100F2900SBBudgFY</f>
        <v>0</v>
      </c>
      <c r="D39" s="639">
        <f>F001P100F2900O6100+F001P100F2900O6200</f>
        <v>0</v>
      </c>
      <c r="E39" s="640">
        <f>[1]!F001P100F2900OthBudgFY</f>
        <v>0</v>
      </c>
      <c r="F39" s="640">
        <f>F001P100F2900O630064006500+F001P100F2900O6600+F001P100F2900O6800</f>
        <v>0</v>
      </c>
      <c r="G39" s="640">
        <f t="shared" si="0"/>
        <v>0</v>
      </c>
      <c r="H39" s="639">
        <f t="shared" si="0"/>
        <v>0</v>
      </c>
      <c r="I39" s="646">
        <f t="shared" si="1"/>
        <v>0</v>
      </c>
      <c r="J39" s="303"/>
      <c r="K39" s="303"/>
      <c r="L39" s="303"/>
      <c r="M39" s="303"/>
      <c r="N39" s="303"/>
      <c r="O39" s="303"/>
      <c r="P39" s="303"/>
      <c r="Q39" s="303"/>
      <c r="R39" s="303"/>
      <c r="S39" s="303"/>
      <c r="T39" s="303"/>
      <c r="U39" s="303"/>
      <c r="V39" s="303"/>
    </row>
    <row r="40" spans="1:22" ht="13.5" customHeight="1">
      <c r="A40" s="607" t="s">
        <v>1032</v>
      </c>
      <c r="B40" s="586"/>
      <c r="C40" s="640">
        <f>[1]!F001P100F3000SBBudgFY</f>
        <v>0</v>
      </c>
      <c r="D40" s="639">
        <f>F001P100F3000O6100+F001P100F3000O6200</f>
        <v>0</v>
      </c>
      <c r="E40" s="640">
        <f>[1]!F001P100F3000OthBudgFY</f>
        <v>16000</v>
      </c>
      <c r="F40" s="640">
        <f>F001P100F3000O630064006500+F001P100F3000O6600+F001P100F3000O6800</f>
        <v>16000</v>
      </c>
      <c r="G40" s="640">
        <f t="shared" si="0"/>
        <v>16000</v>
      </c>
      <c r="H40" s="639">
        <f t="shared" si="0"/>
        <v>16000</v>
      </c>
      <c r="I40" s="646">
        <f t="shared" si="1"/>
        <v>0</v>
      </c>
      <c r="J40" s="303"/>
      <c r="K40" s="303"/>
      <c r="L40" s="303"/>
      <c r="M40" s="303"/>
      <c r="N40" s="303"/>
      <c r="O40" s="303"/>
      <c r="P40" s="303"/>
      <c r="Q40" s="303"/>
      <c r="R40" s="303"/>
      <c r="S40" s="303"/>
      <c r="T40" s="303"/>
      <c r="U40" s="303"/>
      <c r="V40" s="303"/>
    </row>
    <row r="41" spans="1:22" ht="13.5" customHeight="1">
      <c r="A41" s="593" t="s">
        <v>1033</v>
      </c>
      <c r="B41" s="586"/>
      <c r="C41" s="640">
        <f>[1]!F001P610SBBudgFY</f>
        <v>9624</v>
      </c>
      <c r="D41" s="639">
        <f>F001P610O6100+F001P610O6200</f>
        <v>9624</v>
      </c>
      <c r="E41" s="640">
        <f>[1]!F001P610OthBudgFY</f>
        <v>0</v>
      </c>
      <c r="F41" s="640">
        <f>F001P610O630064006500+F001P610O6600+F001P610O6800</f>
        <v>0</v>
      </c>
      <c r="G41" s="640">
        <f t="shared" si="0"/>
        <v>9624</v>
      </c>
      <c r="H41" s="639">
        <f t="shared" si="0"/>
        <v>9624</v>
      </c>
      <c r="I41" s="646">
        <f t="shared" si="1"/>
        <v>0</v>
      </c>
      <c r="J41" s="303"/>
      <c r="K41" s="303"/>
      <c r="L41" s="303"/>
      <c r="M41" s="303"/>
      <c r="N41" s="303"/>
      <c r="O41" s="303"/>
      <c r="P41" s="303"/>
      <c r="Q41" s="303"/>
      <c r="R41" s="303"/>
      <c r="S41" s="303"/>
      <c r="T41" s="303"/>
      <c r="U41" s="303"/>
      <c r="V41" s="303"/>
    </row>
    <row r="42" spans="1:22" ht="13.5" customHeight="1">
      <c r="A42" s="593" t="s">
        <v>1034</v>
      </c>
      <c r="B42" s="586"/>
      <c r="C42" s="640">
        <f>[1]!F001P620SBBudgFY</f>
        <v>12700</v>
      </c>
      <c r="D42" s="639">
        <f>F001P620O6100+F001P620O6200</f>
        <v>12700</v>
      </c>
      <c r="E42" s="640">
        <f>[1]!F001P620OthBudgFY</f>
        <v>10400</v>
      </c>
      <c r="F42" s="640">
        <f>F001P620O630064006500+F001P620O6600+F001P620O6800</f>
        <v>10400</v>
      </c>
      <c r="G42" s="640">
        <f t="shared" si="0"/>
        <v>23100</v>
      </c>
      <c r="H42" s="639">
        <f t="shared" si="0"/>
        <v>23100</v>
      </c>
      <c r="I42" s="646">
        <f t="shared" si="1"/>
        <v>0</v>
      </c>
      <c r="J42" s="303"/>
      <c r="K42" s="303"/>
      <c r="L42" s="303"/>
      <c r="M42" s="303"/>
      <c r="N42" s="303"/>
      <c r="O42" s="303"/>
      <c r="P42" s="303"/>
      <c r="Q42" s="303"/>
      <c r="R42" s="303"/>
      <c r="S42" s="303"/>
      <c r="T42" s="303"/>
      <c r="U42" s="303"/>
      <c r="V42" s="303"/>
    </row>
    <row r="43" spans="1:22" ht="13.5" customHeight="1">
      <c r="A43" s="593" t="s">
        <v>1035</v>
      </c>
      <c r="B43" s="586"/>
      <c r="C43" s="640">
        <f>[1]!F001P630700800900SBBudgFY</f>
        <v>0</v>
      </c>
      <c r="D43" s="639">
        <f>F001P630O6100+F001P630O6200+F001P700800900O6100+F001P700800900O6200</f>
        <v>0</v>
      </c>
      <c r="E43" s="640">
        <f>[1]!F001P630700800900OthBudgFY</f>
        <v>0</v>
      </c>
      <c r="F43" s="640">
        <f>F001P630O630064006500+F001P630O6600+F001P630O6800+F001P700800900O630064006500+F001P700800900O6600+F001P700800900O6800</f>
        <v>0</v>
      </c>
      <c r="G43" s="640">
        <f t="shared" si="0"/>
        <v>0</v>
      </c>
      <c r="H43" s="639">
        <f t="shared" si="0"/>
        <v>0</v>
      </c>
      <c r="I43" s="646">
        <f t="shared" si="1"/>
        <v>0</v>
      </c>
      <c r="J43" s="303"/>
      <c r="K43" s="303"/>
      <c r="L43" s="303"/>
      <c r="M43" s="303"/>
      <c r="N43" s="303"/>
      <c r="O43" s="303"/>
      <c r="P43" s="303"/>
      <c r="Q43" s="303"/>
      <c r="R43" s="303"/>
      <c r="S43" s="303"/>
      <c r="T43" s="303"/>
      <c r="U43" s="303"/>
      <c r="V43" s="303"/>
    </row>
    <row r="44" spans="1:22" ht="12.75" customHeight="1">
      <c r="A44" s="641" t="s">
        <v>1036</v>
      </c>
      <c r="B44" s="617"/>
      <c r="C44" s="1188">
        <f t="shared" ref="C44:H44" si="2">SUM(C33:C43)</f>
        <v>2048340</v>
      </c>
      <c r="D44" s="1188">
        <f t="shared" si="2"/>
        <v>2048340</v>
      </c>
      <c r="E44" s="1188">
        <f t="shared" si="2"/>
        <v>732300</v>
      </c>
      <c r="F44" s="1188">
        <f t="shared" si="2"/>
        <v>732300</v>
      </c>
      <c r="G44" s="1188">
        <f t="shared" si="2"/>
        <v>2780640</v>
      </c>
      <c r="H44" s="1188">
        <f t="shared" si="2"/>
        <v>2780640</v>
      </c>
      <c r="I44" s="1189">
        <f t="shared" si="1"/>
        <v>0</v>
      </c>
      <c r="J44" s="303"/>
      <c r="K44" s="303"/>
      <c r="L44" s="303"/>
      <c r="M44" s="303"/>
      <c r="N44" s="303"/>
      <c r="O44" s="303"/>
      <c r="P44" s="303"/>
      <c r="Q44" s="303"/>
      <c r="R44" s="303"/>
      <c r="S44" s="303"/>
      <c r="T44" s="303"/>
      <c r="U44" s="303"/>
      <c r="V44" s="303"/>
    </row>
    <row r="45" spans="1:22" ht="12.75" customHeight="1">
      <c r="A45" s="607" t="s">
        <v>978</v>
      </c>
      <c r="B45" s="586"/>
      <c r="C45" s="1187"/>
      <c r="D45" s="1187"/>
      <c r="E45" s="1187"/>
      <c r="F45" s="1187"/>
      <c r="G45" s="1187"/>
      <c r="H45" s="1187"/>
      <c r="I45" s="1187"/>
      <c r="J45" s="303"/>
      <c r="K45" s="303"/>
      <c r="L45" s="303"/>
      <c r="M45" s="303"/>
      <c r="N45" s="303"/>
      <c r="O45" s="303"/>
      <c r="P45" s="303"/>
      <c r="Q45" s="303"/>
      <c r="R45" s="303"/>
      <c r="S45" s="303"/>
      <c r="T45" s="303"/>
      <c r="U45" s="303"/>
      <c r="V45" s="303"/>
    </row>
    <row r="46" spans="1:22" ht="12.75" customHeight="1">
      <c r="A46" s="607" t="s">
        <v>96</v>
      </c>
      <c r="B46" s="586"/>
      <c r="C46" s="1185">
        <f>[1]!F001P200F1000SBBudgFY</f>
        <v>290000</v>
      </c>
      <c r="D46" s="1185">
        <f>F001P200F1000O6100+F001P200F1000O6200</f>
        <v>290000</v>
      </c>
      <c r="E46" s="1185">
        <f>[1]!F001P200F1000OthBudgFY</f>
        <v>42000</v>
      </c>
      <c r="F46" s="1185">
        <f>F001P200F1000O630064006500+F001P200F1000O6600+F001P200F1000O6800</f>
        <v>42000</v>
      </c>
      <c r="G46" s="1185">
        <f>C46+E46</f>
        <v>332000</v>
      </c>
      <c r="H46" s="1185">
        <f>D46+F46</f>
        <v>332000</v>
      </c>
      <c r="I46" s="1186">
        <f>IF(G46=H46,0,IF(G46&gt;0,(H46-G46)/G46,""))</f>
        <v>0</v>
      </c>
      <c r="J46" s="303"/>
      <c r="K46" s="303"/>
      <c r="L46" s="303"/>
      <c r="M46" s="303"/>
      <c r="N46" s="303"/>
      <c r="O46" s="303"/>
      <c r="P46" s="303"/>
      <c r="Q46" s="303"/>
      <c r="R46" s="303"/>
      <c r="S46" s="303"/>
      <c r="T46" s="303"/>
      <c r="U46" s="303"/>
      <c r="V46" s="303"/>
    </row>
    <row r="47" spans="1:22" ht="12.75" customHeight="1">
      <c r="A47" s="607" t="s">
        <v>968</v>
      </c>
      <c r="B47" s="586"/>
      <c r="C47" s="1187"/>
      <c r="D47" s="1187"/>
      <c r="E47" s="1187"/>
      <c r="F47" s="1187"/>
      <c r="G47" s="1187"/>
      <c r="H47" s="1187"/>
      <c r="I47" s="1187"/>
      <c r="J47" s="303"/>
      <c r="K47" s="303"/>
      <c r="L47" s="303"/>
      <c r="M47" s="303"/>
      <c r="N47" s="303"/>
      <c r="O47" s="303"/>
      <c r="P47" s="303"/>
      <c r="Q47" s="303"/>
      <c r="R47" s="303"/>
      <c r="S47" s="303"/>
      <c r="T47" s="303"/>
      <c r="U47" s="303"/>
      <c r="V47" s="303"/>
    </row>
    <row r="48" spans="1:22" ht="12.75" customHeight="1">
      <c r="A48" s="607" t="s">
        <v>97</v>
      </c>
      <c r="B48" s="632"/>
      <c r="C48" s="1185">
        <f>[1]!F001P200F2100SBBudgFY</f>
        <v>12375</v>
      </c>
      <c r="D48" s="1185">
        <f>F001P200F2100O6100+F001P200F2100O6200</f>
        <v>12375</v>
      </c>
      <c r="E48" s="1185">
        <f>[1]!F001P200F2100OthBudgFY</f>
        <v>155600</v>
      </c>
      <c r="F48" s="1185">
        <f>F001P200F2100O630064006500+F001P200F2100O6600+F001P200F2100O6800</f>
        <v>155600</v>
      </c>
      <c r="G48" s="1185">
        <f>C48+E48</f>
        <v>167975</v>
      </c>
      <c r="H48" s="1185">
        <f>D48+F48</f>
        <v>167975</v>
      </c>
      <c r="I48" s="1186">
        <f>IF(G48=H48,0,IF(G48&gt;0,(H48-G48)/G48,""))</f>
        <v>0</v>
      </c>
      <c r="J48" s="303"/>
      <c r="K48" s="303"/>
      <c r="L48" s="303"/>
      <c r="M48" s="303"/>
      <c r="N48" s="303"/>
      <c r="O48" s="303"/>
      <c r="P48" s="303"/>
      <c r="Q48" s="303"/>
      <c r="R48" s="303"/>
      <c r="S48" s="303"/>
      <c r="T48" s="303"/>
      <c r="U48" s="303"/>
      <c r="V48" s="303"/>
    </row>
    <row r="49" spans="1:22" ht="13.5" customHeight="1">
      <c r="A49" s="633" t="s">
        <v>969</v>
      </c>
      <c r="B49" s="586"/>
      <c r="C49" s="639">
        <f>[1]!F001P200F2200SBBudgFY</f>
        <v>140000</v>
      </c>
      <c r="D49" s="639">
        <f>F001P200F2200O6100+F001P200F2200O6200</f>
        <v>140000</v>
      </c>
      <c r="E49" s="639">
        <f>[1]!F001P200F2200OthBudgFY</f>
        <v>15500</v>
      </c>
      <c r="F49" s="639">
        <f>F001P200F2200O630064006500+F001P200F2200O6600+F001P200F2200O6800</f>
        <v>15500</v>
      </c>
      <c r="G49" s="639">
        <f t="shared" ref="G49:G57" si="3">C49+E49</f>
        <v>155500</v>
      </c>
      <c r="H49" s="639">
        <f t="shared" ref="H49:H57" si="4">D49+F49</f>
        <v>155500</v>
      </c>
      <c r="I49" s="648">
        <f t="shared" ref="I49:I57" si="5">IF(G49=H49,0,IF(G49&gt;0,(H49-G49)/G49,""))</f>
        <v>0</v>
      </c>
      <c r="J49" s="303"/>
      <c r="K49" s="303"/>
      <c r="L49" s="303"/>
      <c r="M49" s="303"/>
      <c r="N49" s="303"/>
      <c r="O49" s="303"/>
      <c r="P49" s="303"/>
      <c r="Q49" s="303"/>
      <c r="R49" s="303"/>
      <c r="S49" s="303"/>
      <c r="T49" s="303"/>
      <c r="U49" s="303"/>
      <c r="V49" s="303"/>
    </row>
    <row r="50" spans="1:22" ht="13.5" customHeight="1">
      <c r="A50" s="633" t="s">
        <v>336</v>
      </c>
      <c r="B50" s="637"/>
      <c r="C50" s="640">
        <f>[1]!F001P200F230024002500SBBudgFY</f>
        <v>0</v>
      </c>
      <c r="D50" s="640">
        <f>F001P200F2300O6100+F001P200F2300O6200+F001P200F2400O6100+F001P200F2400O6200+F001P200F2500O6100+F001P200F2500O6200</f>
        <v>0</v>
      </c>
      <c r="E50" s="640">
        <f>[1]!F001P200F230024002500OthBudgFY</f>
        <v>43400</v>
      </c>
      <c r="F50" s="640">
        <f>F001P200F2300O630064006500+F001P200F2300O6600+F001P200F2300O6800+F001P200F2400O630064006500+F001P200F2400O6600+F001P200F2400O6800+F001P200F2500O630064006500+F001P200F2500O6600+F001P200F2500O6800</f>
        <v>43400</v>
      </c>
      <c r="G50" s="640">
        <f t="shared" si="3"/>
        <v>43400</v>
      </c>
      <c r="H50" s="639">
        <f t="shared" si="4"/>
        <v>43400</v>
      </c>
      <c r="I50" s="646">
        <f t="shared" si="5"/>
        <v>0</v>
      </c>
      <c r="J50" s="303"/>
      <c r="K50" s="303"/>
      <c r="L50" s="303"/>
      <c r="M50" s="303"/>
      <c r="N50" s="303"/>
      <c r="O50" s="303"/>
      <c r="P50" s="303"/>
      <c r="Q50" s="303"/>
      <c r="R50" s="303"/>
      <c r="S50" s="303"/>
      <c r="T50" s="303"/>
      <c r="U50" s="303"/>
      <c r="V50" s="303"/>
    </row>
    <row r="51" spans="1:22" ht="13.5" customHeight="1">
      <c r="A51" s="633" t="s">
        <v>1031</v>
      </c>
      <c r="B51" s="638"/>
      <c r="C51" s="640">
        <f>[1]!F001P200F2600SBBudgFY</f>
        <v>0</v>
      </c>
      <c r="D51" s="640">
        <f>F001P200F2600O6100+F001P200F2600O6200</f>
        <v>0</v>
      </c>
      <c r="E51" s="640">
        <f>[1]!F001P200F2600OthBudgFY</f>
        <v>0</v>
      </c>
      <c r="F51" s="640">
        <f>F001P200F2600O630064006500+F001P200F2600O6600+F001P200F2600O6800</f>
        <v>0</v>
      </c>
      <c r="G51" s="640">
        <f t="shared" si="3"/>
        <v>0</v>
      </c>
      <c r="H51" s="639">
        <f t="shared" si="4"/>
        <v>0</v>
      </c>
      <c r="I51" s="646">
        <f t="shared" si="5"/>
        <v>0</v>
      </c>
      <c r="J51" s="303"/>
      <c r="K51" s="303"/>
      <c r="L51" s="303"/>
      <c r="M51" s="303"/>
      <c r="N51" s="303"/>
      <c r="O51" s="303"/>
      <c r="P51" s="303"/>
      <c r="Q51" s="303"/>
      <c r="R51" s="303"/>
      <c r="S51" s="303"/>
      <c r="T51" s="303"/>
      <c r="U51" s="303"/>
      <c r="V51" s="303"/>
    </row>
    <row r="52" spans="1:22" ht="13.5" customHeight="1">
      <c r="A52" s="607" t="s">
        <v>337</v>
      </c>
      <c r="B52" s="586"/>
      <c r="C52" s="640">
        <f>[1]!F001P200F2900SBBudgFY</f>
        <v>0</v>
      </c>
      <c r="D52" s="640">
        <f>F001P200F2900O6100+F001P200F2900O6200</f>
        <v>0</v>
      </c>
      <c r="E52" s="640">
        <f>[1]!F001P200F2900OthBudgFY</f>
        <v>0</v>
      </c>
      <c r="F52" s="640">
        <f>F001P200F2900O630064006500+F001P200F2900O6600+F001P200F2900O6800</f>
        <v>0</v>
      </c>
      <c r="G52" s="640">
        <f t="shared" si="3"/>
        <v>0</v>
      </c>
      <c r="H52" s="639">
        <f t="shared" si="4"/>
        <v>0</v>
      </c>
      <c r="I52" s="646">
        <f t="shared" si="5"/>
        <v>0</v>
      </c>
      <c r="J52" s="303"/>
      <c r="K52" s="303"/>
      <c r="L52" s="303"/>
      <c r="M52" s="303"/>
      <c r="N52" s="303"/>
      <c r="O52" s="303"/>
      <c r="P52" s="303"/>
      <c r="Q52" s="303"/>
      <c r="R52" s="303"/>
      <c r="S52" s="303"/>
      <c r="T52" s="303"/>
      <c r="U52" s="303"/>
      <c r="V52" s="303"/>
    </row>
    <row r="53" spans="1:22" ht="13.5" customHeight="1">
      <c r="A53" s="607" t="s">
        <v>1037</v>
      </c>
      <c r="B53" s="586"/>
      <c r="C53" s="640">
        <f>[1]!F001P200F3000SBBudgFY</f>
        <v>0</v>
      </c>
      <c r="D53" s="640">
        <f>F001P200F3000O6100+F001P200F3000O6200</f>
        <v>0</v>
      </c>
      <c r="E53" s="640">
        <f>[1]!F001P200F3000OthBudgFY</f>
        <v>0</v>
      </c>
      <c r="F53" s="640">
        <f>F001P200F3000O630064006500+F001P200F3000O6600+F001P200F3000O6800</f>
        <v>0</v>
      </c>
      <c r="G53" s="640">
        <f t="shared" si="3"/>
        <v>0</v>
      </c>
      <c r="H53" s="639">
        <f t="shared" si="4"/>
        <v>0</v>
      </c>
      <c r="I53" s="646">
        <f t="shared" si="5"/>
        <v>0</v>
      </c>
      <c r="J53" s="303"/>
      <c r="K53" s="303"/>
      <c r="L53" s="303"/>
      <c r="M53" s="303"/>
      <c r="N53" s="303"/>
      <c r="O53" s="303"/>
      <c r="P53" s="303"/>
      <c r="Q53" s="303"/>
      <c r="R53" s="303"/>
      <c r="S53" s="303"/>
      <c r="T53" s="303"/>
      <c r="U53" s="303"/>
      <c r="V53" s="303"/>
    </row>
    <row r="54" spans="1:22" ht="13.5" customHeight="1">
      <c r="A54" s="641" t="s">
        <v>1038</v>
      </c>
      <c r="B54" s="586"/>
      <c r="C54" s="645">
        <f t="shared" ref="C54:H54" si="6">SUM(C46:C53)</f>
        <v>442375</v>
      </c>
      <c r="D54" s="645">
        <f t="shared" si="6"/>
        <v>442375</v>
      </c>
      <c r="E54" s="645">
        <f t="shared" si="6"/>
        <v>256500</v>
      </c>
      <c r="F54" s="645">
        <f t="shared" si="6"/>
        <v>256500</v>
      </c>
      <c r="G54" s="640">
        <f t="shared" si="6"/>
        <v>698875</v>
      </c>
      <c r="H54" s="640">
        <f t="shared" si="6"/>
        <v>698875</v>
      </c>
      <c r="I54" s="646">
        <f t="shared" si="5"/>
        <v>0</v>
      </c>
      <c r="J54" s="303"/>
      <c r="K54" s="303"/>
      <c r="L54" s="303"/>
      <c r="M54" s="303"/>
      <c r="N54" s="303"/>
      <c r="O54" s="303"/>
      <c r="P54" s="303"/>
      <c r="Q54" s="303"/>
      <c r="R54" s="303"/>
      <c r="S54" s="303"/>
      <c r="T54" s="303"/>
      <c r="U54" s="303"/>
      <c r="V54" s="303"/>
    </row>
    <row r="55" spans="1:22" ht="13.5" customHeight="1">
      <c r="A55" s="607" t="s">
        <v>979</v>
      </c>
      <c r="B55" s="643"/>
      <c r="C55" s="640">
        <f>[1]!F001P400SBBudgFY</f>
        <v>346178</v>
      </c>
      <c r="D55" s="645">
        <f>F001P400O6100+F001P400O6200</f>
        <v>346178</v>
      </c>
      <c r="E55" s="640">
        <f>[1]!F001P400OthBudgFy</f>
        <v>126500</v>
      </c>
      <c r="F55" s="645">
        <f>F001P400O630064006500+F001P400O6600+F001P400O6800</f>
        <v>126500</v>
      </c>
      <c r="G55" s="640">
        <f t="shared" si="3"/>
        <v>472678</v>
      </c>
      <c r="H55" s="639">
        <f t="shared" si="4"/>
        <v>472678</v>
      </c>
      <c r="I55" s="646">
        <f t="shared" si="5"/>
        <v>0</v>
      </c>
      <c r="J55" s="303"/>
      <c r="K55" s="303"/>
      <c r="L55" s="303"/>
      <c r="M55" s="303"/>
      <c r="N55" s="303"/>
      <c r="O55" s="303"/>
      <c r="P55" s="303"/>
      <c r="Q55" s="303"/>
      <c r="R55" s="303"/>
      <c r="S55" s="303"/>
      <c r="T55" s="303"/>
      <c r="U55" s="303"/>
      <c r="V55" s="303"/>
    </row>
    <row r="56" spans="1:22" ht="13.5" customHeight="1">
      <c r="A56" s="633" t="s">
        <v>338</v>
      </c>
      <c r="B56" s="644"/>
      <c r="C56" s="640">
        <f>[1]!F001P510SBBudgFY</f>
        <v>0</v>
      </c>
      <c r="D56" s="645">
        <f>F001P510O6100+F001P510O6200</f>
        <v>0</v>
      </c>
      <c r="E56" s="640">
        <f>[1]!F001P510OthBudgFY</f>
        <v>0</v>
      </c>
      <c r="F56" s="645">
        <f>F001P510O630064006500+F001P510O6600+F001P510O6800</f>
        <v>0</v>
      </c>
      <c r="G56" s="640">
        <f t="shared" si="3"/>
        <v>0</v>
      </c>
      <c r="H56" s="639">
        <f t="shared" si="4"/>
        <v>0</v>
      </c>
      <c r="I56" s="646">
        <f t="shared" si="5"/>
        <v>0</v>
      </c>
      <c r="J56" s="303"/>
      <c r="K56" s="303"/>
      <c r="L56" s="303"/>
      <c r="M56" s="303"/>
      <c r="N56" s="303"/>
      <c r="O56" s="303"/>
      <c r="P56" s="303"/>
      <c r="Q56" s="303"/>
      <c r="R56" s="303"/>
      <c r="S56" s="303"/>
      <c r="T56" s="303"/>
      <c r="U56" s="303"/>
      <c r="V56" s="303"/>
    </row>
    <row r="57" spans="1:22" ht="13.5" customHeight="1">
      <c r="A57" s="607" t="s">
        <v>980</v>
      </c>
      <c r="B57" s="643"/>
      <c r="C57" s="631">
        <f>[1]!F001P530SBBudgFY</f>
        <v>0</v>
      </c>
      <c r="D57" s="1190">
        <f>F001P530O6100+F001P530O6200</f>
        <v>0</v>
      </c>
      <c r="E57" s="631">
        <f>[1]!F001P530OthBudgFY</f>
        <v>0</v>
      </c>
      <c r="F57" s="1190">
        <f>F001P530O630064006500+F001P530O6600+F001P530O6800</f>
        <v>0</v>
      </c>
      <c r="G57" s="631">
        <f t="shared" si="3"/>
        <v>0</v>
      </c>
      <c r="H57" s="1188">
        <f t="shared" si="4"/>
        <v>0</v>
      </c>
      <c r="I57" s="1189">
        <f t="shared" si="5"/>
        <v>0</v>
      </c>
      <c r="J57" s="303"/>
      <c r="K57" s="303"/>
      <c r="L57" s="303"/>
      <c r="M57" s="303"/>
      <c r="N57" s="303"/>
      <c r="O57" s="303"/>
      <c r="P57" s="303"/>
      <c r="Q57" s="303"/>
      <c r="R57" s="303"/>
      <c r="S57" s="303"/>
      <c r="T57" s="303"/>
      <c r="U57" s="303"/>
      <c r="V57" s="303"/>
    </row>
    <row r="58" spans="1:22" ht="12.75" customHeight="1">
      <c r="A58" s="607" t="s">
        <v>1039</v>
      </c>
      <c r="B58" s="1067"/>
      <c r="C58" s="1187"/>
      <c r="D58" s="1187"/>
      <c r="E58" s="1187"/>
      <c r="F58" s="1187"/>
      <c r="G58" s="1187"/>
      <c r="H58" s="1187"/>
      <c r="I58" s="1187"/>
      <c r="J58" s="303"/>
      <c r="K58" s="303"/>
      <c r="L58" s="303"/>
      <c r="M58" s="303"/>
      <c r="N58" s="303"/>
      <c r="O58" s="303"/>
      <c r="P58" s="303"/>
      <c r="Q58" s="303"/>
      <c r="R58" s="303"/>
      <c r="S58" s="303"/>
      <c r="T58" s="303"/>
      <c r="U58" s="303"/>
      <c r="V58" s="303"/>
    </row>
    <row r="59" spans="1:22" ht="12.75" customHeight="1">
      <c r="A59" s="607" t="s">
        <v>1130</v>
      </c>
      <c r="B59" s="1067"/>
      <c r="C59" s="1185">
        <f>[1]!F001P540SBBudgFY</f>
        <v>0</v>
      </c>
      <c r="D59" s="1191">
        <f>F001P540O6100+F001P540O6200</f>
        <v>0</v>
      </c>
      <c r="E59" s="1185">
        <f>[1]!F001P540OthBudgFY</f>
        <v>0</v>
      </c>
      <c r="F59" s="1191">
        <f>F001P540O630064006500+F001P540O6600+F001P540O6800</f>
        <v>0</v>
      </c>
      <c r="G59" s="1185">
        <f>C59+E59</f>
        <v>0</v>
      </c>
      <c r="H59" s="1185">
        <f>D59+F59</f>
        <v>0</v>
      </c>
      <c r="I59" s="1186">
        <f>IF(G59=H59,0,IF(G59&gt;0,(H59-G59)/G59,""))</f>
        <v>0</v>
      </c>
      <c r="J59" s="303"/>
      <c r="K59" s="303"/>
      <c r="L59" s="303"/>
      <c r="M59" s="303"/>
      <c r="N59" s="303"/>
      <c r="O59" s="303"/>
      <c r="P59" s="303"/>
      <c r="Q59" s="303"/>
      <c r="R59" s="303"/>
      <c r="S59" s="303"/>
      <c r="T59" s="303"/>
      <c r="U59" s="303"/>
      <c r="V59" s="303"/>
    </row>
    <row r="60" spans="1:22" ht="14.25" customHeight="1">
      <c r="A60" s="633" t="s">
        <v>1040</v>
      </c>
      <c r="B60" s="1264"/>
      <c r="C60" s="635">
        <f>[1]!F001P550SBBudgFY</f>
        <v>37500</v>
      </c>
      <c r="D60" s="647">
        <f>F001P550O6100+F001P550O6200</f>
        <v>68201</v>
      </c>
      <c r="E60" s="635">
        <f>[1]!F001P550OthBudgFY</f>
        <v>0</v>
      </c>
      <c r="F60" s="647">
        <f>F001P550O630064006500+F001P550O6600+F001P550O6800</f>
        <v>0</v>
      </c>
      <c r="G60" s="635">
        <f>C60+E60</f>
        <v>37500</v>
      </c>
      <c r="H60" s="639">
        <f>D60+F60</f>
        <v>68201</v>
      </c>
      <c r="I60" s="648">
        <f>IF(G60=H60,0,IF(G60&gt;0,(H60-G60)/G60,""))</f>
        <v>0.81899999999999995</v>
      </c>
      <c r="J60" s="303"/>
      <c r="K60" s="303"/>
      <c r="L60" s="303"/>
      <c r="M60" s="303"/>
      <c r="N60" s="303"/>
      <c r="O60" s="303"/>
      <c r="P60" s="303"/>
      <c r="Q60" s="303"/>
      <c r="R60" s="303"/>
      <c r="S60" s="303"/>
      <c r="T60" s="303"/>
      <c r="U60" s="303"/>
      <c r="V60" s="303"/>
    </row>
    <row r="61" spans="1:22" ht="12.75" customHeight="1">
      <c r="A61" s="637" t="s">
        <v>1041</v>
      </c>
      <c r="B61" s="1515"/>
      <c r="C61" s="642">
        <f t="shared" ref="C61:H61" si="7">SUM(C54:C60)+C44</f>
        <v>2874393</v>
      </c>
      <c r="D61" s="642">
        <f t="shared" si="7"/>
        <v>2905094</v>
      </c>
      <c r="E61" s="642">
        <f t="shared" si="7"/>
        <v>1115300</v>
      </c>
      <c r="F61" s="642">
        <f t="shared" si="7"/>
        <v>1115300</v>
      </c>
      <c r="G61" s="642">
        <f t="shared" si="7"/>
        <v>3989693</v>
      </c>
      <c r="H61" s="642">
        <f t="shared" si="7"/>
        <v>4020394</v>
      </c>
      <c r="I61" s="636">
        <f>IF(G61=H61,0,IF(G61&gt;0,(H61-G61)/G61,""))</f>
        <v>8.0000000000000002E-3</v>
      </c>
      <c r="J61" s="303"/>
      <c r="K61" s="303"/>
      <c r="L61" s="303"/>
      <c r="M61" s="303"/>
      <c r="N61" s="303"/>
      <c r="O61" s="303"/>
      <c r="P61" s="303"/>
      <c r="Q61" s="303"/>
      <c r="R61" s="303"/>
      <c r="S61" s="303"/>
      <c r="T61" s="303"/>
      <c r="U61" s="303"/>
      <c r="V61" s="303"/>
    </row>
    <row r="62" spans="1:22" ht="12">
      <c r="A62" s="1516" t="s">
        <v>1346</v>
      </c>
      <c r="B62" s="1515"/>
      <c r="C62" s="1327"/>
      <c r="D62" s="1327"/>
      <c r="E62" s="1327"/>
      <c r="F62" s="1327"/>
      <c r="G62" s="1531">
        <f>'Page 1'!$K$43</f>
        <v>0</v>
      </c>
      <c r="H62" s="1188">
        <f>F001Carryforward</f>
        <v>503178</v>
      </c>
      <c r="I62" s="1327"/>
      <c r="J62" s="303"/>
      <c r="K62" s="303"/>
      <c r="L62" s="303"/>
      <c r="M62" s="303"/>
      <c r="N62" s="303"/>
      <c r="O62" s="303"/>
      <c r="P62" s="303"/>
      <c r="Q62" s="303"/>
      <c r="R62" s="303"/>
      <c r="S62" s="303"/>
      <c r="T62" s="303"/>
      <c r="U62" s="303"/>
      <c r="V62" s="303"/>
    </row>
    <row r="63" spans="1:22" ht="11.4">
      <c r="A63" s="1436" t="s">
        <v>1131</v>
      </c>
      <c r="B63" s="1437"/>
      <c r="C63" s="1435">
        <f>C61</f>
        <v>2874393</v>
      </c>
      <c r="D63" s="1435">
        <f t="shared" ref="D63:F63" si="8">D61</f>
        <v>2905094</v>
      </c>
      <c r="E63" s="1435">
        <f t="shared" si="8"/>
        <v>1115300</v>
      </c>
      <c r="F63" s="1435">
        <f t="shared" si="8"/>
        <v>1115300</v>
      </c>
      <c r="G63" s="1435">
        <f>G61+G62</f>
        <v>3989693</v>
      </c>
      <c r="H63" s="1435">
        <f>H61+H62</f>
        <v>4523572</v>
      </c>
      <c r="I63" s="636">
        <f>IF(G63=H63,0,IF(G63&gt;0,(H63-G63)/G63,""))</f>
        <v>0.13400000000000001</v>
      </c>
      <c r="J63" s="303"/>
      <c r="K63" s="303"/>
      <c r="L63" s="303"/>
      <c r="M63" s="303"/>
      <c r="N63" s="303"/>
      <c r="O63" s="303"/>
      <c r="P63" s="303"/>
      <c r="Q63" s="303"/>
      <c r="R63" s="303"/>
      <c r="S63" s="303"/>
      <c r="T63" s="303"/>
      <c r="U63" s="303"/>
      <c r="V63" s="303"/>
    </row>
    <row r="64" spans="1:22" ht="11.4">
      <c r="A64" s="583"/>
      <c r="B64" s="583"/>
      <c r="H64" s="586"/>
      <c r="I64" s="583"/>
      <c r="J64" s="303"/>
      <c r="K64" s="303"/>
      <c r="L64" s="303"/>
      <c r="M64" s="303"/>
      <c r="N64" s="303"/>
      <c r="O64" s="303"/>
      <c r="P64" s="303"/>
      <c r="Q64" s="303"/>
      <c r="R64" s="303"/>
      <c r="S64" s="303"/>
      <c r="T64" s="303"/>
      <c r="U64" s="303"/>
      <c r="V64" s="303"/>
    </row>
    <row r="65" spans="1:22" ht="11.4">
      <c r="B65" s="583"/>
      <c r="H65" s="586"/>
      <c r="J65" s="303"/>
      <c r="K65" s="303"/>
      <c r="L65" s="303"/>
      <c r="M65" s="303"/>
      <c r="N65" s="303"/>
      <c r="O65" s="303"/>
      <c r="P65" s="303"/>
      <c r="Q65" s="303"/>
      <c r="R65" s="303"/>
      <c r="S65" s="303"/>
      <c r="T65" s="303"/>
      <c r="U65" s="303"/>
      <c r="V65" s="303"/>
    </row>
    <row r="66" spans="1:22" ht="11.4">
      <c r="A66" s="583"/>
      <c r="B66" s="583"/>
      <c r="H66" s="586"/>
      <c r="I66" s="583"/>
      <c r="J66" s="303"/>
      <c r="K66" s="303"/>
      <c r="L66" s="303"/>
      <c r="M66" s="303"/>
      <c r="N66" s="303"/>
      <c r="O66" s="303"/>
      <c r="P66" s="303"/>
      <c r="Q66" s="303"/>
      <c r="R66" s="303"/>
      <c r="S66" s="303"/>
      <c r="T66" s="303"/>
      <c r="U66" s="303"/>
      <c r="V66" s="303"/>
    </row>
    <row r="67" spans="1:22" ht="11.4">
      <c r="A67" s="583"/>
      <c r="B67" s="583"/>
      <c r="C67" s="584"/>
      <c r="D67" s="586"/>
      <c r="E67" s="586"/>
      <c r="F67" s="586"/>
      <c r="G67" s="586"/>
      <c r="H67" s="586"/>
      <c r="I67" s="583"/>
      <c r="J67" s="303"/>
      <c r="K67" s="303"/>
      <c r="L67" s="303"/>
      <c r="M67" s="303"/>
      <c r="N67" s="303"/>
      <c r="O67" s="303"/>
      <c r="P67" s="303"/>
      <c r="Q67" s="303"/>
      <c r="R67" s="303"/>
      <c r="S67" s="303"/>
      <c r="T67" s="303"/>
      <c r="U67" s="303"/>
      <c r="V67" s="303"/>
    </row>
    <row r="68" spans="1:22" ht="11.4">
      <c r="B68" s="583"/>
      <c r="D68" s="586"/>
      <c r="E68" s="586"/>
      <c r="F68" s="586"/>
      <c r="G68" s="586"/>
      <c r="H68" s="586"/>
      <c r="I68" s="583"/>
      <c r="J68" s="303"/>
      <c r="K68" s="303"/>
      <c r="L68" s="303"/>
      <c r="M68" s="303"/>
      <c r="N68" s="303"/>
      <c r="O68" s="303"/>
      <c r="P68" s="303"/>
      <c r="Q68" s="303"/>
      <c r="R68" s="303"/>
      <c r="S68" s="303"/>
      <c r="T68" s="303"/>
      <c r="U68" s="303"/>
      <c r="V68" s="303"/>
    </row>
    <row r="69" spans="1:22" ht="11.4">
      <c r="A69" s="583"/>
      <c r="B69" s="583"/>
      <c r="C69" s="583"/>
      <c r="D69" s="583"/>
      <c r="E69" s="583"/>
      <c r="F69" s="583"/>
      <c r="G69" s="583"/>
      <c r="H69" s="583"/>
      <c r="I69" s="583"/>
      <c r="J69" s="303"/>
      <c r="K69" s="303"/>
      <c r="L69" s="303"/>
      <c r="M69" s="303"/>
      <c r="N69" s="303"/>
      <c r="O69" s="303"/>
      <c r="P69" s="303"/>
      <c r="Q69" s="303"/>
      <c r="R69" s="303"/>
      <c r="S69" s="303"/>
      <c r="T69" s="303"/>
      <c r="U69" s="303"/>
      <c r="V69" s="303"/>
    </row>
    <row r="70" spans="1:22" ht="11.4">
      <c r="A70" s="583"/>
      <c r="B70" s="583"/>
      <c r="C70" s="583"/>
      <c r="D70" s="583"/>
      <c r="E70" s="583"/>
      <c r="F70" s="583"/>
      <c r="G70" s="583"/>
      <c r="H70" s="583"/>
      <c r="I70" s="583"/>
      <c r="J70" s="303"/>
      <c r="K70" s="303"/>
      <c r="L70" s="303"/>
      <c r="M70" s="303"/>
      <c r="N70" s="303"/>
      <c r="O70" s="303"/>
      <c r="P70" s="303"/>
      <c r="Q70" s="303"/>
      <c r="R70" s="303"/>
      <c r="S70" s="303"/>
      <c r="T70" s="303"/>
      <c r="U70" s="303"/>
      <c r="V70" s="303"/>
    </row>
    <row r="71" spans="1:22" ht="11.4">
      <c r="A71" s="583"/>
      <c r="B71" s="583"/>
      <c r="C71" s="583"/>
      <c r="D71" s="583"/>
      <c r="E71" s="583"/>
      <c r="F71" s="583"/>
      <c r="G71" s="583"/>
      <c r="H71" s="583"/>
      <c r="I71" s="583"/>
      <c r="J71" s="303"/>
      <c r="K71" s="303"/>
      <c r="L71" s="303"/>
      <c r="M71" s="303"/>
      <c r="N71" s="303"/>
      <c r="O71" s="303"/>
      <c r="P71" s="303"/>
      <c r="Q71" s="303"/>
      <c r="R71" s="303"/>
      <c r="S71" s="303"/>
      <c r="T71" s="303"/>
      <c r="U71" s="303"/>
      <c r="V71" s="303"/>
    </row>
    <row r="72" spans="1:22" ht="11.4">
      <c r="A72" s="583"/>
      <c r="B72" s="583"/>
      <c r="C72" s="583"/>
      <c r="D72" s="583"/>
      <c r="E72" s="583"/>
      <c r="F72" s="583"/>
      <c r="G72" s="583"/>
      <c r="H72" s="583"/>
      <c r="I72" s="583"/>
      <c r="J72" s="303"/>
      <c r="K72" s="303"/>
      <c r="L72" s="303"/>
      <c r="M72" s="303"/>
      <c r="N72" s="303"/>
      <c r="O72" s="303"/>
      <c r="P72" s="303"/>
      <c r="Q72" s="303"/>
      <c r="R72" s="303"/>
      <c r="S72" s="303"/>
      <c r="T72" s="303"/>
      <c r="U72" s="303"/>
      <c r="V72" s="303"/>
    </row>
    <row r="73" spans="1:22" ht="11.4">
      <c r="A73" s="583"/>
      <c r="B73" s="583"/>
      <c r="C73" s="583"/>
      <c r="D73" s="583"/>
      <c r="E73" s="583"/>
      <c r="F73" s="583"/>
      <c r="G73" s="583"/>
      <c r="H73" s="583"/>
      <c r="I73" s="583"/>
      <c r="J73" s="303"/>
      <c r="K73" s="303"/>
      <c r="L73" s="303"/>
      <c r="M73" s="303"/>
      <c r="N73" s="303"/>
      <c r="O73" s="303"/>
      <c r="P73" s="303"/>
      <c r="Q73" s="303"/>
      <c r="R73" s="303"/>
      <c r="S73" s="303"/>
      <c r="T73" s="303"/>
      <c r="U73" s="303"/>
      <c r="V73" s="303"/>
    </row>
    <row r="74" spans="1:22" ht="11.4">
      <c r="A74" s="583"/>
      <c r="B74" s="583"/>
      <c r="C74" s="583"/>
      <c r="D74" s="583"/>
      <c r="E74" s="583"/>
      <c r="F74" s="583"/>
      <c r="G74" s="583"/>
      <c r="H74" s="583"/>
      <c r="I74" s="583"/>
      <c r="J74" s="303"/>
      <c r="K74" s="303"/>
      <c r="L74" s="303"/>
      <c r="M74" s="303"/>
      <c r="N74" s="303"/>
      <c r="O74" s="303"/>
      <c r="P74" s="303"/>
      <c r="Q74" s="303"/>
      <c r="R74" s="303"/>
      <c r="S74" s="303"/>
      <c r="T74" s="303"/>
      <c r="U74" s="303"/>
      <c r="V74" s="303"/>
    </row>
    <row r="75" spans="1:22" ht="11.4">
      <c r="A75" s="583"/>
      <c r="B75" s="583"/>
      <c r="C75" s="583"/>
      <c r="D75" s="583"/>
      <c r="E75" s="583"/>
      <c r="F75" s="583"/>
      <c r="G75" s="583"/>
      <c r="H75" s="583"/>
      <c r="I75" s="583"/>
      <c r="J75" s="303"/>
      <c r="K75" s="303"/>
      <c r="L75" s="303"/>
      <c r="M75" s="303"/>
      <c r="N75" s="303"/>
      <c r="O75" s="303"/>
      <c r="P75" s="303"/>
      <c r="Q75" s="303"/>
      <c r="R75" s="303"/>
      <c r="S75" s="303"/>
      <c r="T75" s="303"/>
      <c r="U75" s="303"/>
      <c r="V75" s="303"/>
    </row>
    <row r="76" spans="1:22" ht="11.4">
      <c r="A76" s="583"/>
      <c r="B76" s="583"/>
      <c r="C76" s="583"/>
      <c r="D76" s="583"/>
      <c r="E76" s="583"/>
      <c r="F76" s="583"/>
      <c r="G76" s="583"/>
      <c r="H76" s="583"/>
      <c r="I76" s="583"/>
      <c r="J76" s="303"/>
      <c r="K76" s="303"/>
      <c r="L76" s="303"/>
      <c r="M76" s="303"/>
      <c r="N76" s="303"/>
      <c r="O76" s="303"/>
      <c r="P76" s="303"/>
      <c r="Q76" s="303"/>
      <c r="R76" s="303"/>
      <c r="S76" s="303"/>
      <c r="T76" s="303"/>
      <c r="U76" s="303"/>
      <c r="V76" s="303"/>
    </row>
    <row r="77" spans="1:22" ht="11.4">
      <c r="J77" s="303"/>
      <c r="K77" s="303"/>
      <c r="L77" s="303"/>
      <c r="M77" s="303"/>
      <c r="N77" s="303"/>
      <c r="O77" s="303"/>
      <c r="P77" s="303"/>
      <c r="Q77" s="303"/>
      <c r="R77" s="303"/>
      <c r="S77" s="303"/>
      <c r="T77" s="303"/>
      <c r="U77" s="303"/>
      <c r="V77" s="303"/>
    </row>
    <row r="78" spans="1:22" ht="11.4">
      <c r="J78" s="303"/>
      <c r="K78" s="303"/>
      <c r="L78" s="303"/>
      <c r="M78" s="303"/>
      <c r="N78" s="303"/>
      <c r="O78" s="303"/>
      <c r="P78" s="303"/>
      <c r="Q78" s="303"/>
      <c r="R78" s="303"/>
      <c r="S78" s="303"/>
      <c r="T78" s="303"/>
      <c r="U78" s="303"/>
      <c r="V78" s="303"/>
    </row>
    <row r="79" spans="1:22" ht="11.4">
      <c r="J79" s="303"/>
      <c r="K79" s="303"/>
      <c r="L79" s="303"/>
      <c r="M79" s="303"/>
      <c r="N79" s="303"/>
      <c r="O79" s="303"/>
      <c r="P79" s="303"/>
      <c r="Q79" s="303"/>
      <c r="R79" s="303"/>
      <c r="S79" s="303"/>
      <c r="T79" s="303"/>
      <c r="U79" s="303"/>
      <c r="V79" s="303"/>
    </row>
    <row r="80" spans="1:22" ht="11.4">
      <c r="J80" s="303"/>
      <c r="K80" s="303"/>
      <c r="L80" s="303"/>
      <c r="M80" s="303"/>
      <c r="N80" s="303"/>
      <c r="O80" s="303"/>
      <c r="P80" s="303"/>
      <c r="Q80" s="303"/>
      <c r="R80" s="303"/>
      <c r="S80" s="303"/>
      <c r="T80" s="303"/>
      <c r="U80" s="303"/>
      <c r="V80" s="303"/>
    </row>
    <row r="81" spans="10:22" ht="11.4">
      <c r="J81" s="303"/>
      <c r="K81" s="303"/>
      <c r="L81" s="303"/>
      <c r="M81" s="303"/>
      <c r="N81" s="303"/>
      <c r="O81" s="303"/>
      <c r="P81" s="303"/>
      <c r="Q81" s="303"/>
      <c r="R81" s="303"/>
      <c r="S81" s="303"/>
      <c r="T81" s="303"/>
      <c r="U81" s="303"/>
      <c r="V81" s="303"/>
    </row>
    <row r="82" spans="10:22" ht="11.4">
      <c r="J82" s="303"/>
      <c r="K82" s="303"/>
      <c r="L82" s="303"/>
      <c r="M82" s="303"/>
      <c r="N82" s="303"/>
      <c r="O82" s="303"/>
      <c r="P82" s="303"/>
      <c r="Q82" s="303"/>
      <c r="R82" s="303"/>
      <c r="S82" s="303"/>
      <c r="T82" s="303"/>
      <c r="U82" s="303"/>
      <c r="V82" s="303"/>
    </row>
    <row r="83" spans="10:22" ht="11.4">
      <c r="J83" s="303"/>
      <c r="K83" s="303"/>
      <c r="L83" s="303"/>
      <c r="M83" s="303"/>
      <c r="N83" s="303"/>
      <c r="O83" s="303"/>
      <c r="P83" s="303"/>
      <c r="Q83" s="303"/>
      <c r="R83" s="303"/>
      <c r="S83" s="303"/>
      <c r="T83" s="303"/>
      <c r="U83" s="303"/>
      <c r="V83" s="303"/>
    </row>
    <row r="84" spans="10:22" ht="11.4">
      <c r="J84" s="303"/>
      <c r="K84" s="303"/>
      <c r="L84" s="303"/>
      <c r="M84" s="303"/>
      <c r="N84" s="303"/>
      <c r="O84" s="303"/>
      <c r="P84" s="303"/>
      <c r="Q84" s="303"/>
      <c r="R84" s="303"/>
      <c r="S84" s="303"/>
      <c r="T84" s="303"/>
      <c r="U84" s="303"/>
      <c r="V84" s="303"/>
    </row>
    <row r="85" spans="10:22" ht="11.4">
      <c r="J85" s="303"/>
      <c r="K85" s="303"/>
      <c r="L85" s="303"/>
      <c r="M85" s="303"/>
      <c r="N85" s="303"/>
      <c r="O85" s="303"/>
      <c r="P85" s="303"/>
      <c r="Q85" s="303"/>
      <c r="R85" s="303"/>
      <c r="S85" s="303"/>
      <c r="T85" s="303"/>
      <c r="U85" s="303"/>
      <c r="V85" s="303"/>
    </row>
    <row r="86" spans="10:22" ht="11.4">
      <c r="J86" s="303"/>
      <c r="K86" s="303"/>
      <c r="L86" s="303"/>
      <c r="M86" s="303"/>
      <c r="N86" s="303"/>
      <c r="O86" s="303"/>
      <c r="P86" s="303"/>
      <c r="Q86" s="303"/>
      <c r="R86" s="303"/>
      <c r="S86" s="303"/>
      <c r="T86" s="303"/>
      <c r="U86" s="303"/>
      <c r="V86" s="303"/>
    </row>
    <row r="87" spans="10:22" ht="11.4">
      <c r="J87" s="303"/>
      <c r="K87" s="303"/>
      <c r="L87" s="303"/>
      <c r="M87" s="303"/>
      <c r="N87" s="303"/>
      <c r="O87" s="303"/>
      <c r="P87" s="303"/>
      <c r="Q87" s="303"/>
      <c r="R87" s="303"/>
      <c r="S87" s="303"/>
      <c r="T87" s="303"/>
      <c r="U87" s="303"/>
      <c r="V87" s="303"/>
    </row>
    <row r="88" spans="10:22" ht="11.4">
      <c r="J88" s="303"/>
      <c r="K88" s="303"/>
      <c r="L88" s="303"/>
      <c r="M88" s="303"/>
      <c r="N88" s="303"/>
      <c r="O88" s="303"/>
      <c r="P88" s="303"/>
      <c r="Q88" s="303"/>
      <c r="R88" s="303"/>
      <c r="S88" s="303"/>
      <c r="T88" s="303"/>
      <c r="U88" s="303"/>
      <c r="V88" s="303"/>
    </row>
    <row r="89" spans="10:22" ht="11.4">
      <c r="J89" s="303"/>
      <c r="K89" s="303"/>
      <c r="L89" s="303"/>
      <c r="M89" s="303"/>
      <c r="N89" s="303"/>
      <c r="O89" s="303"/>
      <c r="P89" s="303"/>
      <c r="Q89" s="303"/>
      <c r="R89" s="303"/>
      <c r="S89" s="303"/>
      <c r="T89" s="303"/>
      <c r="U89" s="303"/>
      <c r="V89" s="303"/>
    </row>
    <row r="90" spans="10:22" ht="11.4">
      <c r="J90" s="303"/>
      <c r="K90" s="303"/>
      <c r="L90" s="303"/>
      <c r="M90" s="303"/>
      <c r="N90" s="303"/>
      <c r="O90" s="303"/>
      <c r="P90" s="303"/>
      <c r="Q90" s="303"/>
      <c r="R90" s="303"/>
      <c r="S90" s="303"/>
      <c r="T90" s="303"/>
      <c r="U90" s="303"/>
      <c r="V90" s="303"/>
    </row>
    <row r="91" spans="10:22" ht="11.4">
      <c r="J91" s="303"/>
      <c r="K91" s="303"/>
      <c r="L91" s="303"/>
      <c r="M91" s="303"/>
      <c r="N91" s="303"/>
      <c r="O91" s="303"/>
      <c r="P91" s="303"/>
      <c r="Q91" s="303"/>
      <c r="R91" s="303"/>
      <c r="S91" s="303"/>
      <c r="T91" s="303"/>
      <c r="U91" s="303"/>
      <c r="V91" s="303"/>
    </row>
    <row r="92" spans="10:22" ht="11.4">
      <c r="J92" s="303"/>
      <c r="K92" s="303"/>
      <c r="L92" s="303"/>
      <c r="M92" s="303"/>
      <c r="N92" s="303"/>
      <c r="O92" s="303"/>
      <c r="P92" s="303"/>
      <c r="Q92" s="303"/>
      <c r="R92" s="303"/>
      <c r="S92" s="303"/>
      <c r="T92" s="303"/>
      <c r="U92" s="303"/>
      <c r="V92" s="303"/>
    </row>
    <row r="93" spans="10:22" ht="11.4">
      <c r="J93" s="303"/>
      <c r="K93" s="303"/>
      <c r="L93" s="303"/>
      <c r="M93" s="303"/>
      <c r="N93" s="303"/>
      <c r="O93" s="303"/>
      <c r="P93" s="303"/>
      <c r="Q93" s="303"/>
      <c r="R93" s="303"/>
      <c r="S93" s="303"/>
      <c r="T93" s="303"/>
      <c r="U93" s="303"/>
      <c r="V93" s="303"/>
    </row>
    <row r="94" spans="10:22" ht="11.4">
      <c r="J94" s="303"/>
      <c r="K94" s="303"/>
      <c r="L94" s="303"/>
      <c r="M94" s="303"/>
      <c r="N94" s="303"/>
      <c r="O94" s="303"/>
      <c r="P94" s="303"/>
      <c r="Q94" s="303"/>
      <c r="R94" s="303"/>
      <c r="S94" s="303"/>
      <c r="T94" s="303"/>
      <c r="U94" s="303"/>
      <c r="V94" s="303"/>
    </row>
    <row r="95" spans="10:22" ht="11.4">
      <c r="J95" s="303"/>
      <c r="K95" s="303"/>
      <c r="L95" s="303"/>
      <c r="M95" s="303"/>
      <c r="N95" s="303"/>
      <c r="O95" s="303"/>
      <c r="P95" s="303"/>
      <c r="Q95" s="303"/>
      <c r="R95" s="303"/>
      <c r="S95" s="303"/>
      <c r="T95" s="303"/>
      <c r="U95" s="303"/>
      <c r="V95" s="303"/>
    </row>
    <row r="96" spans="10:22" ht="11.4">
      <c r="J96" s="303"/>
      <c r="K96" s="303"/>
      <c r="L96" s="303"/>
      <c r="M96" s="303"/>
      <c r="N96" s="303"/>
      <c r="O96" s="303"/>
      <c r="P96" s="303"/>
      <c r="Q96" s="303"/>
      <c r="R96" s="303"/>
      <c r="S96" s="303"/>
      <c r="T96" s="303"/>
      <c r="U96" s="303"/>
      <c r="V96" s="303"/>
    </row>
    <row r="97" spans="10:22" ht="11.4">
      <c r="J97" s="303"/>
      <c r="K97" s="303"/>
      <c r="L97" s="303"/>
      <c r="M97" s="303"/>
      <c r="N97" s="303"/>
      <c r="O97" s="303"/>
      <c r="P97" s="303"/>
      <c r="Q97" s="303"/>
      <c r="R97" s="303"/>
      <c r="S97" s="303"/>
      <c r="T97" s="303"/>
      <c r="U97" s="303"/>
      <c r="V97" s="303"/>
    </row>
    <row r="98" spans="10:22" ht="11.4">
      <c r="J98" s="303"/>
      <c r="K98" s="303"/>
      <c r="L98" s="303"/>
      <c r="M98" s="303"/>
      <c r="N98" s="303"/>
      <c r="O98" s="303"/>
      <c r="P98" s="303"/>
      <c r="Q98" s="303"/>
      <c r="R98" s="303"/>
      <c r="S98" s="303"/>
      <c r="T98" s="303"/>
      <c r="U98" s="303"/>
      <c r="V98" s="303"/>
    </row>
    <row r="99" spans="10:22" ht="11.4">
      <c r="J99" s="303"/>
      <c r="K99" s="303"/>
      <c r="L99" s="303"/>
      <c r="M99" s="303"/>
      <c r="N99" s="303"/>
      <c r="O99" s="303"/>
      <c r="P99" s="303"/>
      <c r="Q99" s="303"/>
      <c r="R99" s="303"/>
      <c r="S99" s="303"/>
      <c r="T99" s="303"/>
      <c r="U99" s="303"/>
      <c r="V99" s="303"/>
    </row>
    <row r="100" spans="10:22" ht="11.4">
      <c r="J100" s="303"/>
      <c r="K100" s="303"/>
      <c r="L100" s="303"/>
      <c r="M100" s="303"/>
      <c r="N100" s="303"/>
      <c r="O100" s="303"/>
      <c r="P100" s="303"/>
      <c r="Q100" s="303"/>
      <c r="R100" s="303"/>
      <c r="S100" s="303"/>
      <c r="T100" s="303"/>
      <c r="U100" s="303"/>
      <c r="V100" s="303"/>
    </row>
    <row r="101" spans="10:22" ht="11.4">
      <c r="J101" s="303"/>
      <c r="K101" s="303"/>
      <c r="L101" s="303"/>
      <c r="M101" s="303"/>
      <c r="N101" s="303"/>
      <c r="O101" s="303"/>
      <c r="P101" s="303"/>
      <c r="Q101" s="303"/>
      <c r="R101" s="303"/>
      <c r="S101" s="303"/>
      <c r="T101" s="303"/>
      <c r="U101" s="303"/>
      <c r="V101" s="303"/>
    </row>
    <row r="102" spans="10:22" ht="11.4">
      <c r="J102" s="303"/>
      <c r="K102" s="303"/>
      <c r="L102" s="303"/>
      <c r="M102" s="303"/>
      <c r="N102" s="303"/>
      <c r="O102" s="303"/>
      <c r="P102" s="303"/>
      <c r="Q102" s="303"/>
      <c r="R102" s="303"/>
      <c r="S102" s="303"/>
      <c r="T102" s="303"/>
      <c r="U102" s="303"/>
      <c r="V102" s="303"/>
    </row>
    <row r="103" spans="10:22" ht="11.4">
      <c r="J103" s="303"/>
      <c r="K103" s="303"/>
      <c r="L103" s="303"/>
      <c r="M103" s="303"/>
      <c r="N103" s="303"/>
      <c r="O103" s="303"/>
      <c r="P103" s="303"/>
      <c r="Q103" s="303"/>
      <c r="R103" s="303"/>
      <c r="S103" s="303"/>
      <c r="T103" s="303"/>
      <c r="U103" s="303"/>
      <c r="V103" s="303"/>
    </row>
    <row r="104" spans="10:22" ht="11.4">
      <c r="J104" s="303"/>
      <c r="K104" s="303"/>
      <c r="L104" s="303"/>
      <c r="M104" s="303"/>
      <c r="N104" s="303"/>
      <c r="O104" s="303"/>
      <c r="P104" s="303"/>
      <c r="Q104" s="303"/>
      <c r="R104" s="303"/>
      <c r="S104" s="303"/>
      <c r="T104" s="303"/>
      <c r="U104" s="303"/>
      <c r="V104" s="303"/>
    </row>
    <row r="105" spans="10:22" ht="11.4">
      <c r="J105" s="303"/>
      <c r="K105" s="303"/>
      <c r="L105" s="303"/>
      <c r="M105" s="303"/>
      <c r="N105" s="303"/>
      <c r="O105" s="303"/>
      <c r="P105" s="303"/>
      <c r="Q105" s="303"/>
      <c r="R105" s="303"/>
      <c r="S105" s="303"/>
      <c r="T105" s="303"/>
      <c r="U105" s="303"/>
      <c r="V105" s="303"/>
    </row>
    <row r="106" spans="10:22" ht="11.4">
      <c r="J106" s="303"/>
      <c r="K106" s="303"/>
      <c r="L106" s="303"/>
      <c r="M106" s="303"/>
      <c r="N106" s="303"/>
      <c r="O106" s="303"/>
      <c r="P106" s="303"/>
      <c r="Q106" s="303"/>
      <c r="R106" s="303"/>
      <c r="S106" s="303"/>
      <c r="T106" s="303"/>
      <c r="U106" s="303"/>
      <c r="V106" s="303"/>
    </row>
    <row r="107" spans="10:22" ht="11.4">
      <c r="J107" s="303"/>
      <c r="K107" s="303"/>
      <c r="L107" s="303"/>
      <c r="M107" s="303"/>
      <c r="N107" s="303"/>
      <c r="O107" s="303"/>
      <c r="P107" s="303"/>
      <c r="Q107" s="303"/>
      <c r="R107" s="303"/>
      <c r="S107" s="303"/>
      <c r="T107" s="303"/>
      <c r="U107" s="303"/>
      <c r="V107" s="303"/>
    </row>
    <row r="108" spans="10:22" ht="11.4">
      <c r="J108" s="303"/>
      <c r="K108" s="303"/>
      <c r="L108" s="303"/>
      <c r="M108" s="303"/>
      <c r="N108" s="303"/>
      <c r="O108" s="303"/>
      <c r="P108" s="303"/>
      <c r="Q108" s="303"/>
      <c r="R108" s="303"/>
      <c r="S108" s="303"/>
      <c r="T108" s="303"/>
      <c r="U108" s="303"/>
      <c r="V108" s="303"/>
    </row>
    <row r="109" spans="10:22" ht="11.4">
      <c r="J109" s="303"/>
      <c r="K109" s="303"/>
      <c r="L109" s="303"/>
      <c r="M109" s="303"/>
      <c r="N109" s="303"/>
      <c r="O109" s="303"/>
      <c r="P109" s="303"/>
      <c r="Q109" s="303"/>
      <c r="R109" s="303"/>
      <c r="S109" s="303"/>
      <c r="T109" s="303"/>
      <c r="U109" s="303"/>
      <c r="V109" s="303"/>
    </row>
    <row r="110" spans="10:22" ht="11.4">
      <c r="J110" s="303"/>
      <c r="K110" s="303"/>
      <c r="L110" s="303"/>
      <c r="M110" s="303"/>
      <c r="N110" s="303"/>
      <c r="O110" s="303"/>
      <c r="P110" s="303"/>
      <c r="Q110" s="303"/>
      <c r="R110" s="303"/>
      <c r="S110" s="303"/>
      <c r="T110" s="303"/>
      <c r="U110" s="303"/>
      <c r="V110" s="303"/>
    </row>
    <row r="111" spans="10:22" ht="11.4">
      <c r="J111" s="303"/>
      <c r="K111" s="303"/>
      <c r="L111" s="303"/>
      <c r="M111" s="303"/>
      <c r="N111" s="303"/>
      <c r="O111" s="303"/>
      <c r="P111" s="303"/>
      <c r="Q111" s="303"/>
      <c r="R111" s="303"/>
      <c r="S111" s="303"/>
      <c r="T111" s="303"/>
      <c r="U111" s="303"/>
      <c r="V111" s="303"/>
    </row>
    <row r="112" spans="10:22" ht="11.4">
      <c r="J112" s="303"/>
      <c r="K112" s="303"/>
      <c r="L112" s="303"/>
      <c r="M112" s="303"/>
      <c r="N112" s="303"/>
      <c r="O112" s="303"/>
      <c r="P112" s="303"/>
      <c r="Q112" s="303"/>
      <c r="R112" s="303"/>
      <c r="S112" s="303"/>
      <c r="T112" s="303"/>
      <c r="U112" s="303"/>
      <c r="V112" s="303"/>
    </row>
    <row r="113" spans="10:22" ht="11.4">
      <c r="J113" s="303"/>
      <c r="K113" s="303"/>
      <c r="L113" s="303"/>
      <c r="M113" s="303"/>
      <c r="N113" s="303"/>
      <c r="O113" s="303"/>
      <c r="P113" s="303"/>
      <c r="Q113" s="303"/>
      <c r="R113" s="303"/>
      <c r="S113" s="303"/>
      <c r="T113" s="303"/>
      <c r="U113" s="303"/>
      <c r="V113" s="303"/>
    </row>
    <row r="114" spans="10:22" ht="11.4">
      <c r="J114" s="303"/>
      <c r="K114" s="303"/>
      <c r="L114" s="303"/>
      <c r="M114" s="303"/>
      <c r="N114" s="303"/>
      <c r="O114" s="303"/>
      <c r="P114" s="303"/>
      <c r="Q114" s="303"/>
      <c r="R114" s="303"/>
      <c r="S114" s="303"/>
      <c r="T114" s="303"/>
      <c r="U114" s="303"/>
      <c r="V114" s="303"/>
    </row>
    <row r="115" spans="10:22" ht="11.4">
      <c r="J115" s="303"/>
      <c r="K115" s="303"/>
      <c r="L115" s="303"/>
      <c r="M115" s="303"/>
      <c r="N115" s="303"/>
      <c r="O115" s="303"/>
      <c r="P115" s="303"/>
      <c r="Q115" s="303"/>
      <c r="R115" s="303"/>
      <c r="S115" s="303"/>
      <c r="T115" s="303"/>
      <c r="U115" s="303"/>
      <c r="V115" s="303"/>
    </row>
    <row r="116" spans="10:22" ht="11.4">
      <c r="J116" s="303"/>
      <c r="K116" s="303"/>
      <c r="L116" s="303"/>
      <c r="M116" s="303"/>
      <c r="N116" s="303"/>
      <c r="O116" s="303"/>
      <c r="P116" s="303"/>
      <c r="Q116" s="303"/>
      <c r="R116" s="303"/>
      <c r="S116" s="303"/>
      <c r="T116" s="303"/>
      <c r="U116" s="303"/>
      <c r="V116" s="303"/>
    </row>
    <row r="117" spans="10:22" ht="11.4">
      <c r="J117" s="303"/>
      <c r="K117" s="303"/>
      <c r="L117" s="303"/>
      <c r="M117" s="303"/>
      <c r="N117" s="303"/>
      <c r="O117" s="303"/>
      <c r="P117" s="303"/>
      <c r="Q117" s="303"/>
      <c r="R117" s="303"/>
      <c r="S117" s="303"/>
      <c r="T117" s="303"/>
      <c r="U117" s="303"/>
      <c r="V117" s="303"/>
    </row>
    <row r="118" spans="10:22" ht="11.4">
      <c r="J118" s="303"/>
      <c r="K118" s="303"/>
      <c r="L118" s="303"/>
      <c r="M118" s="303"/>
      <c r="N118" s="303"/>
      <c r="O118" s="303"/>
      <c r="P118" s="303"/>
      <c r="Q118" s="303"/>
      <c r="R118" s="303"/>
      <c r="S118" s="303"/>
      <c r="T118" s="303"/>
      <c r="U118" s="303"/>
      <c r="V118" s="303"/>
    </row>
    <row r="119" spans="10:22" ht="11.4">
      <c r="J119" s="303"/>
      <c r="K119" s="303"/>
      <c r="L119" s="303"/>
      <c r="M119" s="303"/>
      <c r="N119" s="303"/>
      <c r="O119" s="303"/>
      <c r="P119" s="303"/>
      <c r="Q119" s="303"/>
      <c r="R119" s="303"/>
      <c r="S119" s="303"/>
      <c r="T119" s="303"/>
      <c r="U119" s="303"/>
      <c r="V119" s="303"/>
    </row>
    <row r="120" spans="10:22" ht="11.4">
      <c r="J120" s="303"/>
      <c r="K120" s="303"/>
      <c r="L120" s="303"/>
      <c r="M120" s="303"/>
      <c r="N120" s="303"/>
      <c r="O120" s="303"/>
      <c r="P120" s="303"/>
      <c r="Q120" s="303"/>
      <c r="R120" s="303"/>
      <c r="S120" s="303"/>
      <c r="T120" s="303"/>
      <c r="U120" s="303"/>
      <c r="V120" s="303"/>
    </row>
    <row r="121" spans="10:22" ht="11.4">
      <c r="J121" s="303"/>
      <c r="K121" s="303"/>
      <c r="L121" s="303"/>
      <c r="M121" s="303"/>
      <c r="N121" s="303"/>
      <c r="O121" s="303"/>
      <c r="P121" s="303"/>
      <c r="Q121" s="303"/>
      <c r="R121" s="303"/>
      <c r="S121" s="303"/>
      <c r="T121" s="303"/>
      <c r="U121" s="303"/>
      <c r="V121" s="303"/>
    </row>
    <row r="122" spans="10:22" ht="11.4">
      <c r="J122" s="303"/>
      <c r="K122" s="303"/>
      <c r="L122" s="303"/>
      <c r="M122" s="303"/>
      <c r="N122" s="303"/>
      <c r="O122" s="303"/>
      <c r="P122" s="303"/>
      <c r="Q122" s="303"/>
      <c r="R122" s="303"/>
      <c r="S122" s="303"/>
      <c r="T122" s="303"/>
      <c r="U122" s="303"/>
      <c r="V122" s="303"/>
    </row>
    <row r="123" spans="10:22" ht="11.4">
      <c r="J123" s="303"/>
      <c r="K123" s="303"/>
      <c r="L123" s="303"/>
      <c r="M123" s="303"/>
      <c r="N123" s="303"/>
      <c r="O123" s="303"/>
      <c r="P123" s="303"/>
      <c r="Q123" s="303"/>
      <c r="R123" s="303"/>
      <c r="S123" s="303"/>
      <c r="T123" s="303"/>
      <c r="U123" s="303"/>
      <c r="V123" s="303"/>
    </row>
    <row r="124" spans="10:22" ht="11.4">
      <c r="J124" s="303"/>
      <c r="K124" s="303"/>
      <c r="L124" s="303"/>
      <c r="M124" s="303"/>
      <c r="N124" s="303"/>
      <c r="O124" s="303"/>
      <c r="P124" s="303"/>
      <c r="Q124" s="303"/>
      <c r="R124" s="303"/>
      <c r="S124" s="303"/>
      <c r="T124" s="303"/>
      <c r="U124" s="303"/>
      <c r="V124" s="303"/>
    </row>
    <row r="125" spans="10:22" ht="11.4">
      <c r="J125" s="303"/>
      <c r="K125" s="303"/>
      <c r="L125" s="303"/>
      <c r="M125" s="303"/>
      <c r="N125" s="303"/>
      <c r="O125" s="303"/>
      <c r="P125" s="303"/>
      <c r="Q125" s="303"/>
      <c r="R125" s="303"/>
      <c r="S125" s="303"/>
      <c r="T125" s="303"/>
      <c r="U125" s="303"/>
      <c r="V125" s="303"/>
    </row>
    <row r="126" spans="10:22" ht="11.4">
      <c r="J126" s="303"/>
      <c r="K126" s="303"/>
      <c r="L126" s="303"/>
      <c r="M126" s="303"/>
      <c r="N126" s="303"/>
      <c r="O126" s="303"/>
      <c r="P126" s="303"/>
      <c r="Q126" s="303"/>
      <c r="R126" s="303"/>
      <c r="S126" s="303"/>
      <c r="T126" s="303"/>
      <c r="U126" s="303"/>
      <c r="V126" s="303"/>
    </row>
    <row r="127" spans="10:22" ht="11.4">
      <c r="J127" s="303"/>
      <c r="K127" s="303"/>
      <c r="L127" s="303"/>
      <c r="M127" s="303"/>
      <c r="N127" s="303"/>
      <c r="O127" s="303"/>
      <c r="P127" s="303"/>
      <c r="Q127" s="303"/>
      <c r="R127" s="303"/>
      <c r="S127" s="303"/>
      <c r="T127" s="303"/>
      <c r="U127" s="303"/>
      <c r="V127" s="303"/>
    </row>
    <row r="128" spans="10:22" ht="11.4">
      <c r="J128" s="303"/>
      <c r="K128" s="303"/>
      <c r="L128" s="303"/>
      <c r="M128" s="303"/>
      <c r="N128" s="303"/>
      <c r="O128" s="303"/>
      <c r="P128" s="303"/>
      <c r="Q128" s="303"/>
      <c r="R128" s="303"/>
      <c r="S128" s="303"/>
      <c r="T128" s="303"/>
      <c r="U128" s="303"/>
      <c r="V128" s="303"/>
    </row>
    <row r="129" spans="10:22" ht="11.4">
      <c r="J129" s="303"/>
      <c r="K129" s="303"/>
      <c r="L129" s="303"/>
      <c r="M129" s="303"/>
      <c r="N129" s="303"/>
      <c r="O129" s="303"/>
      <c r="P129" s="303"/>
      <c r="Q129" s="303"/>
      <c r="R129" s="303"/>
      <c r="S129" s="303"/>
      <c r="T129" s="303"/>
      <c r="U129" s="303"/>
      <c r="V129" s="303"/>
    </row>
    <row r="130" spans="10:22" ht="11.4">
      <c r="J130" s="303"/>
      <c r="K130" s="303"/>
      <c r="L130" s="303"/>
      <c r="M130" s="303"/>
      <c r="N130" s="303"/>
      <c r="O130" s="303"/>
      <c r="P130" s="303"/>
      <c r="Q130" s="303"/>
      <c r="R130" s="303"/>
      <c r="S130" s="303"/>
      <c r="T130" s="303"/>
      <c r="U130" s="303"/>
      <c r="V130" s="303"/>
    </row>
    <row r="131" spans="10:22" ht="11.4">
      <c r="J131" s="303"/>
      <c r="K131" s="303"/>
      <c r="L131" s="303"/>
      <c r="M131" s="303"/>
      <c r="N131" s="303"/>
      <c r="O131" s="303"/>
      <c r="P131" s="303"/>
      <c r="Q131" s="303"/>
      <c r="R131" s="303"/>
      <c r="S131" s="303"/>
      <c r="T131" s="303"/>
      <c r="U131" s="303"/>
      <c r="V131" s="303"/>
    </row>
    <row r="132" spans="10:22" ht="11.4">
      <c r="J132" s="303"/>
      <c r="K132" s="303"/>
      <c r="L132" s="303"/>
      <c r="M132" s="303"/>
      <c r="N132" s="303"/>
      <c r="O132" s="303"/>
      <c r="P132" s="303"/>
      <c r="Q132" s="303"/>
      <c r="R132" s="303"/>
      <c r="S132" s="303"/>
      <c r="T132" s="303"/>
      <c r="U132" s="303"/>
      <c r="V132" s="303"/>
    </row>
    <row r="133" spans="10:22" ht="11.4">
      <c r="J133" s="303"/>
      <c r="K133" s="303"/>
      <c r="L133" s="303"/>
      <c r="M133" s="303"/>
      <c r="N133" s="303"/>
      <c r="O133" s="303"/>
      <c r="P133" s="303"/>
      <c r="Q133" s="303"/>
      <c r="R133" s="303"/>
      <c r="S133" s="303"/>
      <c r="T133" s="303"/>
      <c r="U133" s="303"/>
      <c r="V133" s="303"/>
    </row>
    <row r="134" spans="10:22" ht="11.4">
      <c r="J134" s="303"/>
      <c r="K134" s="303"/>
      <c r="L134" s="303"/>
      <c r="M134" s="303"/>
      <c r="N134" s="303"/>
      <c r="O134" s="303"/>
      <c r="P134" s="303"/>
      <c r="Q134" s="303"/>
      <c r="R134" s="303"/>
      <c r="S134" s="303"/>
      <c r="T134" s="303"/>
      <c r="U134" s="303"/>
      <c r="V134" s="303"/>
    </row>
    <row r="135" spans="10:22" ht="11.4">
      <c r="J135" s="303"/>
      <c r="K135" s="303"/>
      <c r="L135" s="303"/>
      <c r="M135" s="303"/>
      <c r="N135" s="303"/>
      <c r="O135" s="303"/>
      <c r="P135" s="303"/>
      <c r="Q135" s="303"/>
      <c r="R135" s="303"/>
      <c r="S135" s="303"/>
      <c r="T135" s="303"/>
      <c r="U135" s="303"/>
      <c r="V135" s="303"/>
    </row>
    <row r="136" spans="10:22" ht="11.4">
      <c r="J136" s="303"/>
      <c r="K136" s="303"/>
      <c r="L136" s="303"/>
      <c r="M136" s="303"/>
      <c r="N136" s="303"/>
      <c r="O136" s="303"/>
      <c r="P136" s="303"/>
      <c r="Q136" s="303"/>
      <c r="R136" s="303"/>
      <c r="S136" s="303"/>
      <c r="T136" s="303"/>
      <c r="U136" s="303"/>
      <c r="V136" s="303"/>
    </row>
    <row r="137" spans="10:22" ht="11.4">
      <c r="J137" s="303"/>
      <c r="K137" s="303"/>
      <c r="L137" s="303"/>
      <c r="M137" s="303"/>
      <c r="N137" s="303"/>
      <c r="O137" s="303"/>
      <c r="P137" s="303"/>
      <c r="Q137" s="303"/>
      <c r="R137" s="303"/>
      <c r="S137" s="303"/>
      <c r="T137" s="303"/>
      <c r="U137" s="303"/>
      <c r="V137" s="303"/>
    </row>
    <row r="138" spans="10:22" ht="11.4">
      <c r="J138" s="303"/>
      <c r="K138" s="303"/>
      <c r="L138" s="303"/>
      <c r="M138" s="303"/>
      <c r="N138" s="303"/>
      <c r="O138" s="303"/>
      <c r="P138" s="303"/>
      <c r="Q138" s="303"/>
      <c r="R138" s="303"/>
      <c r="S138" s="303"/>
      <c r="T138" s="303"/>
      <c r="U138" s="303"/>
      <c r="V138" s="303"/>
    </row>
    <row r="139" spans="10:22" ht="11.4">
      <c r="J139" s="303"/>
      <c r="K139" s="303"/>
      <c r="L139" s="303"/>
      <c r="M139" s="303"/>
      <c r="N139" s="303"/>
      <c r="O139" s="303"/>
      <c r="P139" s="303"/>
      <c r="Q139" s="303"/>
      <c r="R139" s="303"/>
      <c r="S139" s="303"/>
      <c r="T139" s="303"/>
      <c r="U139" s="303"/>
      <c r="V139" s="303"/>
    </row>
    <row r="140" spans="10:22" ht="11.4">
      <c r="J140" s="303"/>
      <c r="K140" s="303"/>
      <c r="L140" s="303"/>
      <c r="M140" s="303"/>
      <c r="N140" s="303"/>
      <c r="O140" s="303"/>
      <c r="P140" s="303"/>
      <c r="Q140" s="303"/>
      <c r="R140" s="303"/>
      <c r="S140" s="303"/>
      <c r="T140" s="303"/>
      <c r="U140" s="303"/>
      <c r="V140" s="303"/>
    </row>
    <row r="141" spans="10:22" ht="11.4">
      <c r="J141" s="303"/>
      <c r="K141" s="303"/>
      <c r="L141" s="303"/>
      <c r="M141" s="303"/>
      <c r="N141" s="303"/>
      <c r="O141" s="303"/>
      <c r="P141" s="303"/>
      <c r="Q141" s="303"/>
      <c r="R141" s="303"/>
      <c r="S141" s="303"/>
      <c r="T141" s="303"/>
      <c r="U141" s="303"/>
      <c r="V141" s="303"/>
    </row>
    <row r="142" spans="10:22" ht="11.4">
      <c r="J142" s="303"/>
      <c r="K142" s="303"/>
      <c r="L142" s="303"/>
      <c r="M142" s="303"/>
      <c r="N142" s="303"/>
      <c r="O142" s="303"/>
      <c r="P142" s="303"/>
      <c r="Q142" s="303"/>
      <c r="R142" s="303"/>
      <c r="S142" s="303"/>
      <c r="T142" s="303"/>
      <c r="U142" s="303"/>
      <c r="V142" s="303"/>
    </row>
    <row r="143" spans="10:22" ht="11.4">
      <c r="J143" s="303"/>
      <c r="K143" s="303"/>
      <c r="L143" s="303"/>
      <c r="M143" s="303"/>
      <c r="N143" s="303"/>
      <c r="O143" s="303"/>
      <c r="P143" s="303"/>
      <c r="Q143" s="303"/>
      <c r="R143" s="303"/>
      <c r="S143" s="303"/>
      <c r="T143" s="303"/>
      <c r="U143" s="303"/>
      <c r="V143" s="303"/>
    </row>
    <row r="144" spans="10:22" ht="11.4">
      <c r="J144" s="303"/>
      <c r="K144" s="303"/>
      <c r="L144" s="303"/>
      <c r="M144" s="303"/>
      <c r="N144" s="303"/>
      <c r="O144" s="303"/>
      <c r="P144" s="303"/>
      <c r="Q144" s="303"/>
      <c r="R144" s="303"/>
      <c r="S144" s="303"/>
      <c r="T144" s="303"/>
      <c r="U144" s="303"/>
      <c r="V144" s="303"/>
    </row>
    <row r="145" spans="10:22" ht="11.4">
      <c r="J145" s="303"/>
      <c r="K145" s="303"/>
      <c r="L145" s="303"/>
      <c r="M145" s="303"/>
      <c r="N145" s="303"/>
      <c r="O145" s="303"/>
      <c r="P145" s="303"/>
      <c r="Q145" s="303"/>
      <c r="R145" s="303"/>
      <c r="S145" s="303"/>
      <c r="T145" s="303"/>
      <c r="U145" s="303"/>
      <c r="V145" s="303"/>
    </row>
    <row r="146" spans="10:22" ht="11.4">
      <c r="J146" s="303"/>
      <c r="K146" s="303"/>
      <c r="L146" s="303"/>
      <c r="M146" s="303"/>
      <c r="N146" s="303"/>
      <c r="O146" s="303"/>
      <c r="P146" s="303"/>
      <c r="Q146" s="303"/>
      <c r="R146" s="303"/>
      <c r="S146" s="303"/>
      <c r="T146" s="303"/>
      <c r="U146" s="303"/>
      <c r="V146" s="303"/>
    </row>
    <row r="147" spans="10:22" ht="11.4">
      <c r="J147" s="303"/>
      <c r="K147" s="303"/>
      <c r="L147" s="303"/>
      <c r="M147" s="303"/>
      <c r="N147" s="303"/>
      <c r="O147" s="303"/>
      <c r="P147" s="303"/>
      <c r="Q147" s="303"/>
      <c r="R147" s="303"/>
      <c r="S147" s="303"/>
      <c r="T147" s="303"/>
      <c r="U147" s="303"/>
      <c r="V147" s="303"/>
    </row>
    <row r="148" spans="10:22" ht="11.4">
      <c r="J148" s="303"/>
      <c r="K148" s="303"/>
      <c r="L148" s="303"/>
      <c r="M148" s="303"/>
      <c r="N148" s="303"/>
      <c r="O148" s="303"/>
      <c r="P148" s="303"/>
      <c r="Q148" s="303"/>
      <c r="R148" s="303"/>
      <c r="S148" s="303"/>
      <c r="T148" s="303"/>
      <c r="U148" s="303"/>
      <c r="V148" s="303"/>
    </row>
    <row r="149" spans="10:22" ht="11.4">
      <c r="J149" s="303"/>
      <c r="K149" s="303"/>
      <c r="L149" s="303"/>
      <c r="M149" s="303"/>
      <c r="N149" s="303"/>
      <c r="O149" s="303"/>
      <c r="P149" s="303"/>
      <c r="Q149" s="303"/>
      <c r="R149" s="303"/>
      <c r="S149" s="303"/>
      <c r="T149" s="303"/>
      <c r="U149" s="303"/>
      <c r="V149" s="303"/>
    </row>
    <row r="150" spans="10:22" ht="11.4">
      <c r="J150" s="303"/>
      <c r="K150" s="303"/>
      <c r="L150" s="303"/>
      <c r="M150" s="303"/>
      <c r="N150" s="303"/>
      <c r="O150" s="303"/>
      <c r="P150" s="303"/>
      <c r="Q150" s="303"/>
      <c r="R150" s="303"/>
      <c r="S150" s="303"/>
      <c r="T150" s="303"/>
      <c r="U150" s="303"/>
      <c r="V150" s="303"/>
    </row>
    <row r="151" spans="10:22" ht="11.4">
      <c r="J151" s="303"/>
      <c r="K151" s="303"/>
      <c r="L151" s="303"/>
      <c r="M151" s="303"/>
      <c r="N151" s="303"/>
      <c r="O151" s="303"/>
      <c r="P151" s="303"/>
      <c r="Q151" s="303"/>
      <c r="R151" s="303"/>
      <c r="S151" s="303"/>
      <c r="T151" s="303"/>
      <c r="U151" s="303"/>
      <c r="V151" s="303"/>
    </row>
    <row r="152" spans="10:22" ht="11.4">
      <c r="J152" s="303"/>
      <c r="K152" s="303"/>
      <c r="L152" s="303"/>
      <c r="M152" s="303"/>
      <c r="N152" s="303"/>
      <c r="O152" s="303"/>
      <c r="P152" s="303"/>
      <c r="Q152" s="303"/>
      <c r="R152" s="303"/>
      <c r="S152" s="303"/>
      <c r="T152" s="303"/>
      <c r="U152" s="303"/>
      <c r="V152" s="303"/>
    </row>
    <row r="153" spans="10:22" ht="11.4">
      <c r="J153" s="303"/>
      <c r="K153" s="303"/>
      <c r="L153" s="303"/>
      <c r="M153" s="303"/>
      <c r="N153" s="303"/>
      <c r="O153" s="303"/>
      <c r="P153" s="303"/>
      <c r="Q153" s="303"/>
      <c r="R153" s="303"/>
      <c r="S153" s="303"/>
      <c r="T153" s="303"/>
      <c r="U153" s="303"/>
      <c r="V153" s="303"/>
    </row>
    <row r="154" spans="10:22" ht="11.4">
      <c r="J154" s="303"/>
      <c r="K154" s="303"/>
      <c r="L154" s="303"/>
      <c r="M154" s="303"/>
      <c r="N154" s="303"/>
      <c r="O154" s="303"/>
      <c r="P154" s="303"/>
      <c r="Q154" s="303"/>
      <c r="R154" s="303"/>
      <c r="S154" s="303"/>
      <c r="T154" s="303"/>
      <c r="U154" s="303"/>
      <c r="V154" s="303"/>
    </row>
    <row r="155" spans="10:22" ht="11.4">
      <c r="J155" s="303"/>
      <c r="K155" s="303"/>
      <c r="L155" s="303"/>
      <c r="M155" s="303"/>
      <c r="N155" s="303"/>
      <c r="O155" s="303"/>
      <c r="P155" s="303"/>
      <c r="Q155" s="303"/>
      <c r="R155" s="303"/>
      <c r="S155" s="303"/>
      <c r="T155" s="303"/>
      <c r="U155" s="303"/>
      <c r="V155" s="303"/>
    </row>
    <row r="156" spans="10:22" ht="11.4">
      <c r="J156" s="303"/>
      <c r="K156" s="303"/>
      <c r="L156" s="303"/>
      <c r="M156" s="303"/>
      <c r="N156" s="303"/>
      <c r="O156" s="303"/>
      <c r="P156" s="303"/>
      <c r="Q156" s="303"/>
      <c r="R156" s="303"/>
      <c r="S156" s="303"/>
      <c r="T156" s="303"/>
      <c r="U156" s="303"/>
      <c r="V156" s="303"/>
    </row>
    <row r="157" spans="10:22" ht="11.4">
      <c r="J157" s="303"/>
      <c r="K157" s="303"/>
      <c r="L157" s="303"/>
      <c r="M157" s="303"/>
      <c r="N157" s="303"/>
      <c r="O157" s="303"/>
      <c r="P157" s="303"/>
      <c r="Q157" s="303"/>
      <c r="R157" s="303"/>
      <c r="S157" s="303"/>
      <c r="T157" s="303"/>
      <c r="U157" s="303"/>
      <c r="V157" s="303"/>
    </row>
    <row r="158" spans="10:22" ht="11.4">
      <c r="J158" s="303"/>
      <c r="K158" s="303"/>
      <c r="L158" s="303"/>
      <c r="M158" s="303"/>
      <c r="N158" s="303"/>
      <c r="O158" s="303"/>
      <c r="P158" s="303"/>
      <c r="Q158" s="303"/>
      <c r="R158" s="303"/>
      <c r="S158" s="303"/>
      <c r="T158" s="303"/>
      <c r="U158" s="303"/>
      <c r="V158" s="303"/>
    </row>
    <row r="159" spans="10:22" ht="11.4">
      <c r="J159" s="303"/>
      <c r="K159" s="303"/>
      <c r="L159" s="303"/>
      <c r="M159" s="303"/>
      <c r="N159" s="303"/>
      <c r="O159" s="303"/>
      <c r="P159" s="303"/>
      <c r="Q159" s="303"/>
      <c r="R159" s="303"/>
      <c r="S159" s="303"/>
      <c r="T159" s="303"/>
      <c r="U159" s="303"/>
      <c r="V159" s="303"/>
    </row>
    <row r="160" spans="10:22" ht="11.4">
      <c r="J160" s="303"/>
      <c r="K160" s="303"/>
      <c r="L160" s="303"/>
      <c r="M160" s="303"/>
      <c r="N160" s="303"/>
      <c r="O160" s="303"/>
      <c r="P160" s="303"/>
      <c r="Q160" s="303"/>
      <c r="R160" s="303"/>
      <c r="S160" s="303"/>
      <c r="T160" s="303"/>
      <c r="U160" s="303"/>
      <c r="V160" s="303"/>
    </row>
    <row r="161" spans="10:22" ht="11.4">
      <c r="J161" s="303"/>
      <c r="K161" s="303"/>
      <c r="L161" s="303"/>
      <c r="M161" s="303"/>
      <c r="N161" s="303"/>
      <c r="O161" s="303"/>
      <c r="P161" s="303"/>
      <c r="Q161" s="303"/>
      <c r="R161" s="303"/>
      <c r="S161" s="303"/>
      <c r="T161" s="303"/>
      <c r="U161" s="303"/>
      <c r="V161" s="303"/>
    </row>
    <row r="162" spans="10:22" ht="11.4">
      <c r="J162" s="303"/>
      <c r="K162" s="303"/>
      <c r="L162" s="303"/>
      <c r="M162" s="303"/>
      <c r="N162" s="303"/>
      <c r="O162" s="303"/>
      <c r="P162" s="303"/>
      <c r="Q162" s="303"/>
      <c r="R162" s="303"/>
      <c r="S162" s="303"/>
      <c r="T162" s="303"/>
      <c r="U162" s="303"/>
      <c r="V162" s="303"/>
    </row>
    <row r="163" spans="10:22" ht="11.4">
      <c r="J163" s="303"/>
      <c r="K163" s="303"/>
      <c r="L163" s="303"/>
      <c r="M163" s="303"/>
      <c r="N163" s="303"/>
      <c r="O163" s="303"/>
      <c r="P163" s="303"/>
      <c r="Q163" s="303"/>
      <c r="R163" s="303"/>
      <c r="S163" s="303"/>
      <c r="T163" s="303"/>
      <c r="U163" s="303"/>
      <c r="V163" s="303"/>
    </row>
    <row r="164" spans="10:22" ht="11.4">
      <c r="J164" s="303"/>
      <c r="K164" s="303"/>
      <c r="L164" s="303"/>
      <c r="M164" s="303"/>
      <c r="N164" s="303"/>
      <c r="O164" s="303"/>
      <c r="P164" s="303"/>
      <c r="Q164" s="303"/>
      <c r="R164" s="303"/>
      <c r="S164" s="303"/>
      <c r="T164" s="303"/>
      <c r="U164" s="303"/>
      <c r="V164" s="303"/>
    </row>
    <row r="165" spans="10:22" ht="11.4">
      <c r="J165" s="303"/>
      <c r="K165" s="303"/>
      <c r="L165" s="303"/>
      <c r="M165" s="303"/>
      <c r="N165" s="303"/>
      <c r="O165" s="303"/>
      <c r="P165" s="303"/>
      <c r="Q165" s="303"/>
      <c r="R165" s="303"/>
      <c r="S165" s="303"/>
      <c r="T165" s="303"/>
      <c r="U165" s="303"/>
      <c r="V165" s="303"/>
    </row>
    <row r="166" spans="10:22" ht="11.4">
      <c r="J166" s="303"/>
      <c r="K166" s="303"/>
      <c r="L166" s="303"/>
      <c r="M166" s="303"/>
      <c r="N166" s="303"/>
      <c r="O166" s="303"/>
      <c r="P166" s="303"/>
      <c r="Q166" s="303"/>
      <c r="R166" s="303"/>
      <c r="S166" s="303"/>
      <c r="T166" s="303"/>
      <c r="U166" s="303"/>
      <c r="V166" s="303"/>
    </row>
    <row r="167" spans="10:22" ht="11.4">
      <c r="J167" s="303"/>
      <c r="K167" s="303"/>
      <c r="L167" s="303"/>
      <c r="M167" s="303"/>
      <c r="N167" s="303"/>
      <c r="O167" s="303"/>
      <c r="P167" s="303"/>
      <c r="Q167" s="303"/>
      <c r="R167" s="303"/>
      <c r="S167" s="303"/>
      <c r="T167" s="303"/>
      <c r="U167" s="303"/>
      <c r="V167" s="303"/>
    </row>
    <row r="168" spans="10:22" ht="11.4">
      <c r="J168" s="303"/>
      <c r="K168" s="303"/>
      <c r="L168" s="303"/>
      <c r="M168" s="303"/>
      <c r="N168" s="303"/>
      <c r="O168" s="303"/>
      <c r="P168" s="303"/>
      <c r="Q168" s="303"/>
      <c r="R168" s="303"/>
      <c r="S168" s="303"/>
      <c r="T168" s="303"/>
      <c r="U168" s="303"/>
      <c r="V168" s="303"/>
    </row>
    <row r="169" spans="10:22" ht="11.4">
      <c r="J169" s="303"/>
      <c r="K169" s="303"/>
      <c r="L169" s="303"/>
      <c r="M169" s="303"/>
      <c r="N169" s="303"/>
      <c r="O169" s="303"/>
      <c r="P169" s="303"/>
      <c r="Q169" s="303"/>
      <c r="R169" s="303"/>
      <c r="S169" s="303"/>
      <c r="T169" s="303"/>
      <c r="U169" s="303"/>
      <c r="V169" s="303"/>
    </row>
    <row r="170" spans="10:22" ht="11.4">
      <c r="J170" s="303"/>
      <c r="K170" s="303"/>
      <c r="L170" s="303"/>
      <c r="M170" s="303"/>
      <c r="N170" s="303"/>
      <c r="O170" s="303"/>
      <c r="P170" s="303"/>
      <c r="Q170" s="303"/>
      <c r="R170" s="303"/>
      <c r="S170" s="303"/>
      <c r="T170" s="303"/>
      <c r="U170" s="303"/>
      <c r="V170" s="303"/>
    </row>
    <row r="171" spans="10:22" ht="11.4">
      <c r="J171" s="303"/>
      <c r="K171" s="303"/>
      <c r="L171" s="303"/>
      <c r="M171" s="303"/>
      <c r="N171" s="303"/>
      <c r="O171" s="303"/>
      <c r="P171" s="303"/>
      <c r="Q171" s="303"/>
      <c r="R171" s="303"/>
      <c r="S171" s="303"/>
      <c r="T171" s="303"/>
      <c r="U171" s="303"/>
      <c r="V171" s="303"/>
    </row>
    <row r="172" spans="10:22" ht="11.4">
      <c r="J172" s="303"/>
      <c r="K172" s="303"/>
      <c r="L172" s="303"/>
      <c r="M172" s="303"/>
      <c r="N172" s="303"/>
      <c r="O172" s="303"/>
      <c r="P172" s="303"/>
      <c r="Q172" s="303"/>
      <c r="R172" s="303"/>
      <c r="S172" s="303"/>
      <c r="T172" s="303"/>
      <c r="U172" s="303"/>
      <c r="V172" s="303"/>
    </row>
    <row r="173" spans="10:22" ht="11.4">
      <c r="J173" s="303"/>
      <c r="K173" s="303"/>
      <c r="L173" s="303"/>
      <c r="M173" s="303"/>
      <c r="N173" s="303"/>
      <c r="O173" s="303"/>
      <c r="P173" s="303"/>
      <c r="Q173" s="303"/>
      <c r="R173" s="303"/>
      <c r="S173" s="303"/>
      <c r="T173" s="303"/>
      <c r="U173" s="303"/>
      <c r="V173" s="303"/>
    </row>
    <row r="174" spans="10:22" ht="11.4">
      <c r="J174" s="303"/>
      <c r="K174" s="303"/>
      <c r="L174" s="303"/>
      <c r="M174" s="303"/>
      <c r="N174" s="303"/>
      <c r="O174" s="303"/>
      <c r="P174" s="303"/>
      <c r="Q174" s="303"/>
      <c r="R174" s="303"/>
      <c r="S174" s="303"/>
      <c r="T174" s="303"/>
      <c r="U174" s="303"/>
      <c r="V174" s="303"/>
    </row>
    <row r="175" spans="10:22" ht="11.4">
      <c r="J175" s="303"/>
      <c r="K175" s="303"/>
      <c r="L175" s="303"/>
      <c r="M175" s="303"/>
      <c r="N175" s="303"/>
      <c r="O175" s="303"/>
      <c r="P175" s="303"/>
      <c r="Q175" s="303"/>
      <c r="R175" s="303"/>
      <c r="S175" s="303"/>
      <c r="T175" s="303"/>
      <c r="U175" s="303"/>
      <c r="V175" s="303"/>
    </row>
    <row r="176" spans="10:22" ht="11.4">
      <c r="J176" s="303"/>
      <c r="K176" s="303"/>
      <c r="L176" s="303"/>
      <c r="M176" s="303"/>
      <c r="N176" s="303"/>
      <c r="O176" s="303"/>
      <c r="P176" s="303"/>
      <c r="Q176" s="303"/>
      <c r="R176" s="303"/>
      <c r="S176" s="303"/>
      <c r="T176" s="303"/>
      <c r="U176" s="303"/>
      <c r="V176" s="303"/>
    </row>
    <row r="177" spans="10:22" ht="11.4">
      <c r="J177" s="303"/>
      <c r="K177" s="303"/>
      <c r="L177" s="303"/>
      <c r="M177" s="303"/>
      <c r="N177" s="303"/>
      <c r="O177" s="303"/>
      <c r="P177" s="303"/>
      <c r="Q177" s="303"/>
      <c r="R177" s="303"/>
      <c r="S177" s="303"/>
      <c r="T177" s="303"/>
      <c r="U177" s="303"/>
      <c r="V177" s="303"/>
    </row>
    <row r="178" spans="10:22" ht="11.4">
      <c r="J178" s="303"/>
      <c r="K178" s="303"/>
      <c r="L178" s="303"/>
      <c r="M178" s="303"/>
      <c r="N178" s="303"/>
      <c r="O178" s="303"/>
      <c r="P178" s="303"/>
      <c r="Q178" s="303"/>
      <c r="R178" s="303"/>
      <c r="S178" s="303"/>
      <c r="T178" s="303"/>
      <c r="U178" s="303"/>
      <c r="V178" s="303"/>
    </row>
    <row r="179" spans="10:22" ht="11.4">
      <c r="J179" s="303"/>
      <c r="K179" s="303"/>
      <c r="L179" s="303"/>
      <c r="M179" s="303"/>
      <c r="N179" s="303"/>
      <c r="O179" s="303"/>
      <c r="P179" s="303"/>
      <c r="Q179" s="303"/>
      <c r="R179" s="303"/>
      <c r="S179" s="303"/>
      <c r="T179" s="303"/>
      <c r="U179" s="303"/>
      <c r="V179" s="303"/>
    </row>
    <row r="180" spans="10:22" ht="11.4">
      <c r="J180" s="303"/>
      <c r="K180" s="303"/>
      <c r="L180" s="303"/>
      <c r="M180" s="303"/>
      <c r="N180" s="303"/>
      <c r="O180" s="303"/>
      <c r="P180" s="303"/>
      <c r="Q180" s="303"/>
      <c r="R180" s="303"/>
      <c r="S180" s="303"/>
      <c r="T180" s="303"/>
      <c r="U180" s="303"/>
      <c r="V180" s="303"/>
    </row>
    <row r="181" spans="10:22" ht="11.4">
      <c r="J181" s="303"/>
      <c r="K181" s="303"/>
      <c r="L181" s="303"/>
      <c r="M181" s="303"/>
      <c r="N181" s="303"/>
      <c r="O181" s="303"/>
      <c r="P181" s="303"/>
      <c r="Q181" s="303"/>
      <c r="R181" s="303"/>
      <c r="S181" s="303"/>
      <c r="T181" s="303"/>
      <c r="U181" s="303"/>
      <c r="V181" s="303"/>
    </row>
    <row r="182" spans="10:22" ht="11.4">
      <c r="J182" s="303"/>
      <c r="K182" s="303"/>
      <c r="L182" s="303"/>
      <c r="M182" s="303"/>
      <c r="N182" s="303"/>
      <c r="O182" s="303"/>
      <c r="P182" s="303"/>
      <c r="Q182" s="303"/>
      <c r="R182" s="303"/>
      <c r="S182" s="303"/>
      <c r="T182" s="303"/>
      <c r="U182" s="303"/>
      <c r="V182" s="303"/>
    </row>
    <row r="183" spans="10:22" ht="11.4">
      <c r="J183" s="303"/>
      <c r="K183" s="303"/>
      <c r="L183" s="303"/>
      <c r="M183" s="303"/>
      <c r="N183" s="303"/>
      <c r="O183" s="303"/>
      <c r="P183" s="303"/>
      <c r="Q183" s="303"/>
      <c r="R183" s="303"/>
      <c r="S183" s="303"/>
      <c r="T183" s="303"/>
      <c r="U183" s="303"/>
      <c r="V183" s="303"/>
    </row>
    <row r="184" spans="10:22" ht="11.4">
      <c r="J184" s="303"/>
      <c r="K184" s="303"/>
      <c r="L184" s="303"/>
      <c r="M184" s="303"/>
      <c r="N184" s="303"/>
      <c r="O184" s="303"/>
      <c r="P184" s="303"/>
      <c r="Q184" s="303"/>
      <c r="R184" s="303"/>
      <c r="S184" s="303"/>
      <c r="T184" s="303"/>
      <c r="U184" s="303"/>
      <c r="V184" s="303"/>
    </row>
    <row r="185" spans="10:22" ht="11.4">
      <c r="J185" s="303"/>
      <c r="K185" s="303"/>
      <c r="L185" s="303"/>
      <c r="M185" s="303"/>
      <c r="N185" s="303"/>
      <c r="O185" s="303"/>
      <c r="P185" s="303"/>
      <c r="Q185" s="303"/>
      <c r="R185" s="303"/>
      <c r="S185" s="303"/>
      <c r="T185" s="303"/>
      <c r="U185" s="303"/>
      <c r="V185" s="303"/>
    </row>
    <row r="186" spans="10:22" ht="11.4">
      <c r="J186" s="303"/>
      <c r="K186" s="303"/>
      <c r="L186" s="303"/>
      <c r="M186" s="303"/>
      <c r="N186" s="303"/>
      <c r="O186" s="303"/>
      <c r="P186" s="303"/>
      <c r="Q186" s="303"/>
      <c r="R186" s="303"/>
      <c r="S186" s="303"/>
      <c r="T186" s="303"/>
      <c r="U186" s="303"/>
      <c r="V186" s="303"/>
    </row>
    <row r="187" spans="10:22" ht="11.4">
      <c r="J187" s="303"/>
      <c r="K187" s="303"/>
      <c r="L187" s="303"/>
      <c r="M187" s="303"/>
      <c r="N187" s="303"/>
      <c r="O187" s="303"/>
      <c r="P187" s="303"/>
      <c r="Q187" s="303"/>
      <c r="R187" s="303"/>
      <c r="S187" s="303"/>
      <c r="T187" s="303"/>
      <c r="U187" s="303"/>
      <c r="V187" s="303"/>
    </row>
    <row r="188" spans="10:22" ht="11.4">
      <c r="J188" s="303"/>
      <c r="K188" s="303"/>
      <c r="L188" s="303"/>
      <c r="M188" s="303"/>
      <c r="N188" s="303"/>
      <c r="O188" s="303"/>
      <c r="P188" s="303"/>
      <c r="Q188" s="303"/>
      <c r="R188" s="303"/>
      <c r="S188" s="303"/>
      <c r="T188" s="303"/>
      <c r="U188" s="303"/>
      <c r="V188" s="303"/>
    </row>
    <row r="189" spans="10:22" ht="11.4">
      <c r="J189" s="303"/>
      <c r="K189" s="303"/>
      <c r="L189" s="303"/>
      <c r="M189" s="303"/>
      <c r="N189" s="303"/>
      <c r="O189" s="303"/>
      <c r="P189" s="303"/>
      <c r="Q189" s="303"/>
      <c r="R189" s="303"/>
      <c r="S189" s="303"/>
      <c r="T189" s="303"/>
      <c r="U189" s="303"/>
      <c r="V189" s="303"/>
    </row>
    <row r="190" spans="10:22" ht="11.4">
      <c r="J190" s="303"/>
      <c r="K190" s="303"/>
      <c r="L190" s="303"/>
      <c r="M190" s="303"/>
      <c r="N190" s="303"/>
      <c r="O190" s="303"/>
      <c r="P190" s="303"/>
      <c r="Q190" s="303"/>
      <c r="R190" s="303"/>
      <c r="S190" s="303"/>
      <c r="T190" s="303"/>
      <c r="U190" s="303"/>
      <c r="V190" s="303"/>
    </row>
    <row r="191" spans="10:22" ht="11.4">
      <c r="J191" s="303"/>
      <c r="K191" s="303"/>
      <c r="L191" s="303"/>
      <c r="M191" s="303"/>
      <c r="N191" s="303"/>
      <c r="O191" s="303"/>
      <c r="P191" s="303"/>
      <c r="Q191" s="303"/>
      <c r="R191" s="303"/>
      <c r="S191" s="303"/>
      <c r="T191" s="303"/>
      <c r="U191" s="303"/>
      <c r="V191" s="303"/>
    </row>
    <row r="192" spans="10:22" ht="11.4">
      <c r="J192" s="303"/>
      <c r="K192" s="303"/>
      <c r="L192" s="303"/>
      <c r="M192" s="303"/>
      <c r="N192" s="303"/>
      <c r="O192" s="303"/>
      <c r="P192" s="303"/>
      <c r="Q192" s="303"/>
      <c r="R192" s="303"/>
      <c r="S192" s="303"/>
      <c r="T192" s="303"/>
      <c r="U192" s="303"/>
      <c r="V192" s="303"/>
    </row>
    <row r="193" spans="10:22" ht="11.4">
      <c r="J193" s="303"/>
      <c r="K193" s="303"/>
      <c r="L193" s="303"/>
      <c r="M193" s="303"/>
      <c r="N193" s="303"/>
      <c r="O193" s="303"/>
      <c r="P193" s="303"/>
      <c r="Q193" s="303"/>
      <c r="R193" s="303"/>
      <c r="S193" s="303"/>
      <c r="T193" s="303"/>
      <c r="U193" s="303"/>
      <c r="V193" s="303"/>
    </row>
    <row r="194" spans="10:22" ht="11.4">
      <c r="J194" s="303"/>
      <c r="K194" s="303"/>
      <c r="L194" s="303"/>
      <c r="M194" s="303"/>
      <c r="N194" s="303"/>
      <c r="O194" s="303"/>
      <c r="P194" s="303"/>
      <c r="Q194" s="303"/>
      <c r="R194" s="303"/>
      <c r="S194" s="303"/>
      <c r="T194" s="303"/>
      <c r="U194" s="303"/>
      <c r="V194" s="303"/>
    </row>
    <row r="195" spans="10:22" ht="11.4">
      <c r="J195" s="303"/>
      <c r="K195" s="303"/>
      <c r="L195" s="303"/>
      <c r="M195" s="303"/>
      <c r="N195" s="303"/>
      <c r="O195" s="303"/>
      <c r="P195" s="303"/>
      <c r="Q195" s="303"/>
      <c r="R195" s="303"/>
      <c r="S195" s="303"/>
      <c r="T195" s="303"/>
      <c r="U195" s="303"/>
      <c r="V195" s="303"/>
    </row>
    <row r="196" spans="10:22" ht="11.4">
      <c r="J196" s="303"/>
      <c r="K196" s="303"/>
      <c r="L196" s="303"/>
      <c r="M196" s="303"/>
      <c r="N196" s="303"/>
      <c r="O196" s="303"/>
      <c r="P196" s="303"/>
      <c r="Q196" s="303"/>
      <c r="R196" s="303"/>
      <c r="S196" s="303"/>
      <c r="T196" s="303"/>
      <c r="U196" s="303"/>
      <c r="V196" s="303"/>
    </row>
    <row r="197" spans="10:22" ht="11.4">
      <c r="J197" s="303"/>
      <c r="K197" s="303"/>
      <c r="L197" s="303"/>
      <c r="M197" s="303"/>
      <c r="N197" s="303"/>
      <c r="O197" s="303"/>
      <c r="P197" s="303"/>
      <c r="Q197" s="303"/>
      <c r="R197" s="303"/>
      <c r="S197" s="303"/>
      <c r="T197" s="303"/>
      <c r="U197" s="303"/>
      <c r="V197" s="303"/>
    </row>
    <row r="198" spans="10:22" ht="11.4">
      <c r="J198" s="303"/>
      <c r="K198" s="303"/>
      <c r="L198" s="303"/>
      <c r="M198" s="303"/>
      <c r="N198" s="303"/>
      <c r="O198" s="303"/>
      <c r="P198" s="303"/>
      <c r="Q198" s="303"/>
      <c r="R198" s="303"/>
      <c r="S198" s="303"/>
      <c r="T198" s="303"/>
      <c r="U198" s="303"/>
      <c r="V198" s="303"/>
    </row>
    <row r="199" spans="10:22" ht="11.4">
      <c r="J199" s="303"/>
      <c r="K199" s="303"/>
      <c r="L199" s="303"/>
      <c r="M199" s="303"/>
      <c r="N199" s="303"/>
      <c r="O199" s="303"/>
      <c r="P199" s="303"/>
      <c r="Q199" s="303"/>
      <c r="R199" s="303"/>
      <c r="S199" s="303"/>
      <c r="T199" s="303"/>
      <c r="U199" s="303"/>
      <c r="V199" s="303"/>
    </row>
    <row r="200" spans="10:22" ht="11.4">
      <c r="J200" s="303"/>
      <c r="K200" s="303"/>
      <c r="L200" s="303"/>
      <c r="M200" s="303"/>
      <c r="N200" s="303"/>
      <c r="O200" s="303"/>
      <c r="P200" s="303"/>
      <c r="Q200" s="303"/>
      <c r="R200" s="303"/>
      <c r="S200" s="303"/>
      <c r="T200" s="303"/>
      <c r="U200" s="303"/>
      <c r="V200" s="303"/>
    </row>
    <row r="201" spans="10:22" ht="11.4">
      <c r="J201" s="303"/>
      <c r="K201" s="303"/>
      <c r="L201" s="303"/>
      <c r="M201" s="303"/>
      <c r="N201" s="303"/>
      <c r="O201" s="303"/>
      <c r="P201" s="303"/>
      <c r="Q201" s="303"/>
      <c r="R201" s="303"/>
      <c r="S201" s="303"/>
      <c r="T201" s="303"/>
      <c r="U201" s="303"/>
      <c r="V201" s="303"/>
    </row>
    <row r="202" spans="10:22" ht="11.4">
      <c r="J202" s="303"/>
      <c r="K202" s="303"/>
      <c r="L202" s="303"/>
      <c r="M202" s="303"/>
      <c r="N202" s="303"/>
      <c r="O202" s="303"/>
      <c r="P202" s="303"/>
      <c r="Q202" s="303"/>
      <c r="R202" s="303"/>
      <c r="S202" s="303"/>
      <c r="T202" s="303"/>
      <c r="U202" s="303"/>
      <c r="V202" s="303"/>
    </row>
    <row r="203" spans="10:22" ht="11.4">
      <c r="J203" s="303"/>
      <c r="K203" s="303"/>
      <c r="L203" s="303"/>
      <c r="M203" s="303"/>
      <c r="N203" s="303"/>
      <c r="O203" s="303"/>
      <c r="P203" s="303"/>
      <c r="Q203" s="303"/>
      <c r="R203" s="303"/>
      <c r="S203" s="303"/>
      <c r="T203" s="303"/>
      <c r="U203" s="303"/>
      <c r="V203" s="303"/>
    </row>
    <row r="204" spans="10:22" ht="11.4">
      <c r="J204" s="303"/>
      <c r="K204" s="303"/>
      <c r="L204" s="303"/>
      <c r="M204" s="303"/>
      <c r="N204" s="303"/>
      <c r="O204" s="303"/>
      <c r="P204" s="303"/>
      <c r="Q204" s="303"/>
      <c r="R204" s="303"/>
      <c r="S204" s="303"/>
      <c r="T204" s="303"/>
      <c r="U204" s="303"/>
      <c r="V204" s="303"/>
    </row>
    <row r="205" spans="10:22" ht="11.4">
      <c r="J205" s="303"/>
      <c r="K205" s="303"/>
      <c r="L205" s="303"/>
      <c r="M205" s="303"/>
      <c r="N205" s="303"/>
      <c r="O205" s="303"/>
      <c r="P205" s="303"/>
      <c r="Q205" s="303"/>
      <c r="R205" s="303"/>
      <c r="S205" s="303"/>
      <c r="T205" s="303"/>
      <c r="U205" s="303"/>
      <c r="V205" s="303"/>
    </row>
    <row r="206" spans="10:22" ht="11.4">
      <c r="J206" s="303"/>
      <c r="K206" s="303"/>
      <c r="L206" s="303"/>
      <c r="M206" s="303"/>
      <c r="N206" s="303"/>
      <c r="O206" s="303"/>
      <c r="P206" s="303"/>
      <c r="Q206" s="303"/>
      <c r="R206" s="303"/>
      <c r="S206" s="303"/>
      <c r="T206" s="303"/>
      <c r="U206" s="303"/>
      <c r="V206" s="303"/>
    </row>
    <row r="207" spans="10:22" ht="11.4">
      <c r="J207" s="303"/>
      <c r="K207" s="303"/>
      <c r="L207" s="303"/>
      <c r="M207" s="303"/>
      <c r="N207" s="303"/>
      <c r="O207" s="303"/>
      <c r="P207" s="303"/>
      <c r="Q207" s="303"/>
      <c r="R207" s="303"/>
      <c r="S207" s="303"/>
      <c r="T207" s="303"/>
      <c r="U207" s="303"/>
      <c r="V207" s="303"/>
    </row>
    <row r="208" spans="10:22" ht="11.4">
      <c r="J208" s="303"/>
      <c r="K208" s="303"/>
      <c r="L208" s="303"/>
      <c r="M208" s="303"/>
      <c r="N208" s="303"/>
      <c r="O208" s="303"/>
      <c r="P208" s="303"/>
      <c r="Q208" s="303"/>
      <c r="R208" s="303"/>
      <c r="S208" s="303"/>
      <c r="T208" s="303"/>
      <c r="U208" s="303"/>
      <c r="V208" s="303"/>
    </row>
    <row r="209" spans="10:22" ht="11.4">
      <c r="J209" s="303"/>
      <c r="K209" s="303"/>
      <c r="L209" s="303"/>
      <c r="M209" s="303"/>
      <c r="N209" s="303"/>
      <c r="O209" s="303"/>
      <c r="P209" s="303"/>
      <c r="Q209" s="303"/>
      <c r="R209" s="303"/>
      <c r="S209" s="303"/>
      <c r="T209" s="303"/>
      <c r="U209" s="303"/>
      <c r="V209" s="303"/>
    </row>
    <row r="210" spans="10:22" ht="11.4">
      <c r="J210" s="303"/>
      <c r="K210" s="303"/>
      <c r="L210" s="303"/>
      <c r="M210" s="303"/>
      <c r="N210" s="303"/>
      <c r="O210" s="303"/>
      <c r="P210" s="303"/>
      <c r="Q210" s="303"/>
      <c r="R210" s="303"/>
      <c r="S210" s="303"/>
      <c r="T210" s="303"/>
      <c r="U210" s="303"/>
      <c r="V210" s="303"/>
    </row>
    <row r="211" spans="10:22" ht="11.4">
      <c r="J211" s="303"/>
      <c r="K211" s="303"/>
      <c r="L211" s="303"/>
      <c r="M211" s="303"/>
      <c r="N211" s="303"/>
      <c r="O211" s="303"/>
      <c r="P211" s="303"/>
      <c r="Q211" s="303"/>
      <c r="R211" s="303"/>
      <c r="S211" s="303"/>
      <c r="T211" s="303"/>
      <c r="U211" s="303"/>
      <c r="V211" s="303"/>
    </row>
    <row r="212" spans="10:22" ht="11.4">
      <c r="J212" s="303"/>
      <c r="K212" s="303"/>
      <c r="L212" s="303"/>
      <c r="M212" s="303"/>
      <c r="N212" s="303"/>
      <c r="O212" s="303"/>
      <c r="P212" s="303"/>
      <c r="Q212" s="303"/>
      <c r="R212" s="303"/>
      <c r="S212" s="303"/>
      <c r="T212" s="303"/>
      <c r="U212" s="303"/>
      <c r="V212" s="303"/>
    </row>
    <row r="213" spans="10:22" ht="11.4">
      <c r="J213" s="303"/>
      <c r="K213" s="303"/>
      <c r="L213" s="303"/>
      <c r="M213" s="303"/>
      <c r="N213" s="303"/>
      <c r="O213" s="303"/>
      <c r="P213" s="303"/>
      <c r="Q213" s="303"/>
      <c r="R213" s="303"/>
      <c r="S213" s="303"/>
      <c r="T213" s="303"/>
      <c r="U213" s="303"/>
      <c r="V213" s="303"/>
    </row>
    <row r="214" spans="10:22" ht="11.4">
      <c r="J214" s="303"/>
      <c r="K214" s="303"/>
      <c r="L214" s="303"/>
      <c r="M214" s="303"/>
      <c r="N214" s="303"/>
      <c r="O214" s="303"/>
      <c r="P214" s="303"/>
      <c r="Q214" s="303"/>
      <c r="R214" s="303"/>
      <c r="S214" s="303"/>
      <c r="T214" s="303"/>
      <c r="U214" s="303"/>
      <c r="V214" s="303"/>
    </row>
    <row r="215" spans="10:22" ht="11.4">
      <c r="J215" s="303"/>
      <c r="K215" s="303"/>
      <c r="L215" s="303"/>
      <c r="M215" s="303"/>
      <c r="N215" s="303"/>
      <c r="O215" s="303"/>
      <c r="P215" s="303"/>
      <c r="Q215" s="303"/>
      <c r="R215" s="303"/>
      <c r="S215" s="303"/>
      <c r="T215" s="303"/>
      <c r="U215" s="303"/>
      <c r="V215" s="303"/>
    </row>
    <row r="216" spans="10:22" ht="11.4">
      <c r="J216" s="303"/>
      <c r="K216" s="303"/>
      <c r="L216" s="303"/>
      <c r="M216" s="303"/>
      <c r="N216" s="303"/>
      <c r="O216" s="303"/>
      <c r="P216" s="303"/>
      <c r="Q216" s="303"/>
      <c r="R216" s="303"/>
      <c r="S216" s="303"/>
      <c r="T216" s="303"/>
      <c r="U216" s="303"/>
      <c r="V216" s="303"/>
    </row>
    <row r="217" spans="10:22" ht="11.4">
      <c r="J217" s="303"/>
      <c r="K217" s="303"/>
      <c r="L217" s="303"/>
      <c r="M217" s="303"/>
      <c r="N217" s="303"/>
      <c r="O217" s="303"/>
      <c r="P217" s="303"/>
      <c r="Q217" s="303"/>
      <c r="R217" s="303"/>
      <c r="S217" s="303"/>
      <c r="T217" s="303"/>
      <c r="U217" s="303"/>
      <c r="V217" s="303"/>
    </row>
    <row r="218" spans="10:22" ht="11.4">
      <c r="J218" s="303"/>
      <c r="K218" s="303"/>
      <c r="L218" s="303"/>
      <c r="M218" s="303"/>
      <c r="N218" s="303"/>
      <c r="O218" s="303"/>
      <c r="P218" s="303"/>
      <c r="Q218" s="303"/>
      <c r="R218" s="303"/>
      <c r="S218" s="303"/>
      <c r="T218" s="303"/>
      <c r="U218" s="303"/>
      <c r="V218" s="303"/>
    </row>
    <row r="219" spans="10:22" ht="11.4">
      <c r="J219" s="303"/>
      <c r="K219" s="303"/>
      <c r="L219" s="303"/>
      <c r="M219" s="303"/>
      <c r="N219" s="303"/>
      <c r="O219" s="303"/>
      <c r="P219" s="303"/>
      <c r="Q219" s="303"/>
      <c r="R219" s="303"/>
      <c r="S219" s="303"/>
      <c r="T219" s="303"/>
      <c r="U219" s="303"/>
      <c r="V219" s="303"/>
    </row>
    <row r="220" spans="10:22" ht="11.4">
      <c r="J220" s="303"/>
      <c r="K220" s="303"/>
      <c r="L220" s="303"/>
      <c r="M220" s="303"/>
      <c r="N220" s="303"/>
      <c r="O220" s="303"/>
      <c r="P220" s="303"/>
      <c r="Q220" s="303"/>
      <c r="R220" s="303"/>
      <c r="S220" s="303"/>
      <c r="T220" s="303"/>
      <c r="U220" s="303"/>
      <c r="V220" s="303"/>
    </row>
    <row r="221" spans="10:22" ht="11.4">
      <c r="J221" s="303"/>
      <c r="K221" s="303"/>
      <c r="L221" s="303"/>
      <c r="M221" s="303"/>
      <c r="N221" s="303"/>
      <c r="O221" s="303"/>
      <c r="P221" s="303"/>
      <c r="Q221" s="303"/>
      <c r="R221" s="303"/>
      <c r="S221" s="303"/>
      <c r="T221" s="303"/>
      <c r="U221" s="303"/>
      <c r="V221" s="303"/>
    </row>
    <row r="222" spans="10:22" ht="11.4">
      <c r="J222" s="303"/>
      <c r="K222" s="303"/>
      <c r="L222" s="303"/>
      <c r="M222" s="303"/>
      <c r="N222" s="303"/>
      <c r="O222" s="303"/>
      <c r="P222" s="303"/>
      <c r="Q222" s="303"/>
      <c r="R222" s="303"/>
      <c r="S222" s="303"/>
      <c r="T222" s="303"/>
      <c r="U222" s="303"/>
      <c r="V222" s="303"/>
    </row>
    <row r="223" spans="10:22" ht="11.4">
      <c r="J223" s="303"/>
      <c r="K223" s="303"/>
      <c r="L223" s="303"/>
      <c r="M223" s="303"/>
      <c r="N223" s="303"/>
      <c r="O223" s="303"/>
      <c r="P223" s="303"/>
      <c r="Q223" s="303"/>
      <c r="R223" s="303"/>
      <c r="S223" s="303"/>
      <c r="T223" s="303"/>
      <c r="U223" s="303"/>
      <c r="V223" s="303"/>
    </row>
    <row r="224" spans="10:22" ht="11.4">
      <c r="J224" s="303"/>
      <c r="K224" s="303"/>
      <c r="L224" s="303"/>
      <c r="M224" s="303"/>
      <c r="N224" s="303"/>
      <c r="O224" s="303"/>
      <c r="P224" s="303"/>
      <c r="Q224" s="303"/>
      <c r="R224" s="303"/>
      <c r="S224" s="303"/>
      <c r="T224" s="303"/>
      <c r="U224" s="303"/>
      <c r="V224" s="303"/>
    </row>
    <row r="225" spans="10:22" ht="11.4">
      <c r="J225" s="303"/>
      <c r="K225" s="303"/>
      <c r="L225" s="303"/>
      <c r="M225" s="303"/>
      <c r="N225" s="303"/>
      <c r="O225" s="303"/>
      <c r="P225" s="303"/>
      <c r="Q225" s="303"/>
      <c r="R225" s="303"/>
      <c r="S225" s="303"/>
      <c r="T225" s="303"/>
      <c r="U225" s="303"/>
      <c r="V225" s="303"/>
    </row>
    <row r="226" spans="10:22" ht="11.4">
      <c r="J226" s="303"/>
      <c r="K226" s="303"/>
      <c r="L226" s="303"/>
      <c r="M226" s="303"/>
      <c r="N226" s="303"/>
      <c r="O226" s="303"/>
      <c r="P226" s="303"/>
      <c r="Q226" s="303"/>
      <c r="R226" s="303"/>
      <c r="S226" s="303"/>
      <c r="T226" s="303"/>
      <c r="U226" s="303"/>
      <c r="V226" s="303"/>
    </row>
    <row r="227" spans="10:22" ht="11.4">
      <c r="J227" s="303"/>
      <c r="K227" s="303"/>
      <c r="L227" s="303"/>
      <c r="M227" s="303"/>
      <c r="N227" s="303"/>
      <c r="O227" s="303"/>
      <c r="P227" s="303"/>
      <c r="Q227" s="303"/>
      <c r="R227" s="303"/>
      <c r="S227" s="303"/>
      <c r="T227" s="303"/>
      <c r="U227" s="303"/>
      <c r="V227" s="303"/>
    </row>
    <row r="228" spans="10:22" ht="11.4">
      <c r="J228" s="303"/>
      <c r="K228" s="303"/>
      <c r="L228" s="303"/>
      <c r="M228" s="303"/>
      <c r="N228" s="303"/>
      <c r="O228" s="303"/>
      <c r="P228" s="303"/>
      <c r="Q228" s="303"/>
      <c r="R228" s="303"/>
      <c r="S228" s="303"/>
      <c r="T228" s="303"/>
      <c r="U228" s="303"/>
      <c r="V228" s="303"/>
    </row>
    <row r="229" spans="10:22" ht="11.4">
      <c r="J229" s="303"/>
      <c r="K229" s="303"/>
      <c r="L229" s="303"/>
      <c r="M229" s="303"/>
      <c r="N229" s="303"/>
      <c r="O229" s="303"/>
      <c r="P229" s="303"/>
      <c r="Q229" s="303"/>
      <c r="R229" s="303"/>
      <c r="S229" s="303"/>
      <c r="T229" s="303"/>
      <c r="U229" s="303"/>
      <c r="V229" s="303"/>
    </row>
    <row r="230" spans="10:22" ht="11.4">
      <c r="J230" s="303"/>
      <c r="K230" s="303"/>
      <c r="L230" s="303"/>
      <c r="M230" s="303"/>
      <c r="N230" s="303"/>
      <c r="O230" s="303"/>
      <c r="P230" s="303"/>
      <c r="Q230" s="303"/>
      <c r="R230" s="303"/>
      <c r="S230" s="303"/>
      <c r="T230" s="303"/>
      <c r="U230" s="303"/>
      <c r="V230" s="303"/>
    </row>
    <row r="231" spans="10:22" ht="11.4">
      <c r="J231" s="303"/>
      <c r="K231" s="303"/>
      <c r="L231" s="303"/>
      <c r="M231" s="303"/>
      <c r="N231" s="303"/>
      <c r="O231" s="303"/>
      <c r="P231" s="303"/>
      <c r="Q231" s="303"/>
      <c r="R231" s="303"/>
      <c r="S231" s="303"/>
      <c r="T231" s="303"/>
      <c r="U231" s="303"/>
      <c r="V231" s="303"/>
    </row>
    <row r="232" spans="10:22" ht="11.4">
      <c r="J232" s="303"/>
      <c r="K232" s="303"/>
      <c r="L232" s="303"/>
      <c r="M232" s="303"/>
      <c r="N232" s="303"/>
      <c r="O232" s="303"/>
      <c r="P232" s="303"/>
      <c r="Q232" s="303"/>
      <c r="R232" s="303"/>
      <c r="S232" s="303"/>
      <c r="T232" s="303"/>
      <c r="U232" s="303"/>
      <c r="V232" s="303"/>
    </row>
    <row r="233" spans="10:22" ht="11.4">
      <c r="J233" s="303"/>
      <c r="K233" s="303"/>
      <c r="L233" s="303"/>
      <c r="M233" s="303"/>
      <c r="N233" s="303"/>
      <c r="O233" s="303"/>
      <c r="P233" s="303"/>
      <c r="Q233" s="303"/>
      <c r="R233" s="303"/>
      <c r="S233" s="303"/>
      <c r="T233" s="303"/>
      <c r="U233" s="303"/>
      <c r="V233" s="303"/>
    </row>
    <row r="234" spans="10:22" ht="11.4">
      <c r="J234" s="303"/>
      <c r="K234" s="303"/>
      <c r="L234" s="303"/>
      <c r="M234" s="303"/>
      <c r="N234" s="303"/>
      <c r="O234" s="303"/>
      <c r="P234" s="303"/>
      <c r="Q234" s="303"/>
      <c r="R234" s="303"/>
      <c r="S234" s="303"/>
      <c r="T234" s="303"/>
      <c r="U234" s="303"/>
      <c r="V234" s="303"/>
    </row>
    <row r="235" spans="10:22" ht="11.4">
      <c r="J235" s="303"/>
      <c r="K235" s="303"/>
      <c r="L235" s="303"/>
      <c r="M235" s="303"/>
      <c r="N235" s="303"/>
      <c r="O235" s="303"/>
      <c r="P235" s="303"/>
      <c r="Q235" s="303"/>
      <c r="R235" s="303"/>
      <c r="S235" s="303"/>
      <c r="T235" s="303"/>
      <c r="U235" s="303"/>
      <c r="V235" s="303"/>
    </row>
    <row r="236" spans="10:22" ht="11.4">
      <c r="J236" s="303"/>
      <c r="K236" s="303"/>
      <c r="L236" s="303"/>
      <c r="M236" s="303"/>
      <c r="N236" s="303"/>
      <c r="O236" s="303"/>
      <c r="P236" s="303"/>
      <c r="Q236" s="303"/>
      <c r="R236" s="303"/>
      <c r="S236" s="303"/>
      <c r="T236" s="303"/>
      <c r="U236" s="303"/>
      <c r="V236" s="303"/>
    </row>
    <row r="237" spans="10:22" ht="11.4">
      <c r="J237" s="303"/>
      <c r="K237" s="303"/>
      <c r="L237" s="303"/>
      <c r="M237" s="303"/>
      <c r="N237" s="303"/>
      <c r="O237" s="303"/>
      <c r="P237" s="303"/>
      <c r="Q237" s="303"/>
      <c r="R237" s="303"/>
      <c r="S237" s="303"/>
      <c r="T237" s="303"/>
      <c r="U237" s="303"/>
      <c r="V237" s="303"/>
    </row>
    <row r="238" spans="10:22" ht="11.4">
      <c r="J238" s="303"/>
      <c r="K238" s="303"/>
      <c r="L238" s="303"/>
      <c r="M238" s="303"/>
      <c r="N238" s="303"/>
      <c r="O238" s="303"/>
      <c r="P238" s="303"/>
      <c r="Q238" s="303"/>
      <c r="R238" s="303"/>
      <c r="S238" s="303"/>
      <c r="T238" s="303"/>
      <c r="U238" s="303"/>
      <c r="V238" s="303"/>
    </row>
    <row r="239" spans="10:22" ht="11.4">
      <c r="J239" s="303"/>
      <c r="K239" s="303"/>
      <c r="L239" s="303"/>
      <c r="M239" s="303"/>
      <c r="N239" s="303"/>
      <c r="O239" s="303"/>
      <c r="P239" s="303"/>
      <c r="Q239" s="303"/>
      <c r="R239" s="303"/>
      <c r="S239" s="303"/>
      <c r="T239" s="303"/>
      <c r="U239" s="303"/>
      <c r="V239" s="303"/>
    </row>
    <row r="240" spans="10:22" ht="11.4">
      <c r="J240" s="303"/>
      <c r="K240" s="303"/>
      <c r="L240" s="303"/>
      <c r="M240" s="303"/>
      <c r="N240" s="303"/>
      <c r="O240" s="303"/>
      <c r="P240" s="303"/>
      <c r="Q240" s="303"/>
      <c r="R240" s="303"/>
      <c r="S240" s="303"/>
      <c r="T240" s="303"/>
      <c r="U240" s="303"/>
      <c r="V240" s="303"/>
    </row>
    <row r="241" spans="10:22" ht="11.4">
      <c r="J241" s="303"/>
      <c r="K241" s="303"/>
      <c r="L241" s="303"/>
      <c r="M241" s="303"/>
      <c r="N241" s="303"/>
      <c r="O241" s="303"/>
      <c r="P241" s="303"/>
      <c r="Q241" s="303"/>
      <c r="R241" s="303"/>
      <c r="S241" s="303"/>
      <c r="T241" s="303"/>
      <c r="U241" s="303"/>
      <c r="V241" s="303"/>
    </row>
    <row r="242" spans="10:22" ht="11.4">
      <c r="J242" s="303"/>
      <c r="K242" s="303"/>
      <c r="L242" s="303"/>
      <c r="M242" s="303"/>
      <c r="N242" s="303"/>
      <c r="O242" s="303"/>
      <c r="P242" s="303"/>
      <c r="Q242" s="303"/>
      <c r="R242" s="303"/>
      <c r="S242" s="303"/>
      <c r="T242" s="303"/>
      <c r="U242" s="303"/>
      <c r="V242" s="303"/>
    </row>
    <row r="243" spans="10:22" ht="11.4">
      <c r="J243" s="303"/>
      <c r="K243" s="303"/>
      <c r="L243" s="303"/>
      <c r="M243" s="303"/>
      <c r="N243" s="303"/>
      <c r="O243" s="303"/>
      <c r="P243" s="303"/>
      <c r="Q243" s="303"/>
      <c r="R243" s="303"/>
      <c r="S243" s="303"/>
      <c r="T243" s="303"/>
      <c r="U243" s="303"/>
      <c r="V243" s="303"/>
    </row>
    <row r="244" spans="10:22" ht="11.4">
      <c r="J244" s="303"/>
      <c r="K244" s="303"/>
      <c r="L244" s="303"/>
      <c r="M244" s="303"/>
      <c r="N244" s="303"/>
      <c r="O244" s="303"/>
      <c r="P244" s="303"/>
      <c r="Q244" s="303"/>
      <c r="R244" s="303"/>
      <c r="S244" s="303"/>
      <c r="T244" s="303"/>
      <c r="U244" s="303"/>
      <c r="V244" s="303"/>
    </row>
    <row r="245" spans="10:22" ht="11.4">
      <c r="J245" s="303"/>
      <c r="K245" s="303"/>
      <c r="L245" s="303"/>
      <c r="M245" s="303"/>
      <c r="N245" s="303"/>
      <c r="O245" s="303"/>
      <c r="P245" s="303"/>
      <c r="Q245" s="303"/>
      <c r="R245" s="303"/>
      <c r="S245" s="303"/>
      <c r="T245" s="303"/>
      <c r="U245" s="303"/>
      <c r="V245" s="303"/>
    </row>
    <row r="246" spans="10:22" ht="11.4">
      <c r="J246" s="303"/>
      <c r="K246" s="303"/>
      <c r="L246" s="303"/>
      <c r="M246" s="303"/>
      <c r="N246" s="303"/>
      <c r="O246" s="303"/>
      <c r="P246" s="303"/>
      <c r="Q246" s="303"/>
      <c r="R246" s="303"/>
      <c r="S246" s="303"/>
      <c r="T246" s="303"/>
      <c r="U246" s="303"/>
      <c r="V246" s="303"/>
    </row>
    <row r="247" spans="10:22" ht="11.4">
      <c r="J247" s="303"/>
      <c r="K247" s="303"/>
      <c r="L247" s="303"/>
      <c r="M247" s="303"/>
      <c r="N247" s="303"/>
      <c r="O247" s="303"/>
      <c r="P247" s="303"/>
      <c r="Q247" s="303"/>
      <c r="R247" s="303"/>
      <c r="S247" s="303"/>
      <c r="T247" s="303"/>
      <c r="U247" s="303"/>
      <c r="V247" s="303"/>
    </row>
    <row r="248" spans="10:22" ht="11.4">
      <c r="J248" s="303"/>
      <c r="K248" s="303"/>
      <c r="L248" s="303"/>
      <c r="M248" s="303"/>
      <c r="N248" s="303"/>
      <c r="O248" s="303"/>
      <c r="P248" s="303"/>
      <c r="Q248" s="303"/>
      <c r="R248" s="303"/>
      <c r="S248" s="303"/>
      <c r="T248" s="303"/>
      <c r="U248" s="303"/>
      <c r="V248" s="303"/>
    </row>
    <row r="249" spans="10:22" ht="11.4">
      <c r="J249" s="303"/>
      <c r="K249" s="303"/>
      <c r="L249" s="303"/>
      <c r="M249" s="303"/>
      <c r="N249" s="303"/>
      <c r="O249" s="303"/>
      <c r="P249" s="303"/>
      <c r="Q249" s="303"/>
      <c r="R249" s="303"/>
      <c r="S249" s="303"/>
      <c r="T249" s="303"/>
      <c r="U249" s="303"/>
      <c r="V249" s="303"/>
    </row>
    <row r="250" spans="10:22" ht="11.4">
      <c r="J250" s="303"/>
      <c r="K250" s="303"/>
      <c r="L250" s="303"/>
      <c r="M250" s="303"/>
      <c r="N250" s="303"/>
      <c r="O250" s="303"/>
      <c r="P250" s="303"/>
      <c r="Q250" s="303"/>
      <c r="R250" s="303"/>
      <c r="S250" s="303"/>
      <c r="T250" s="303"/>
      <c r="U250" s="303"/>
      <c r="V250" s="303"/>
    </row>
    <row r="251" spans="10:22" ht="11.4">
      <c r="J251" s="303"/>
      <c r="K251" s="303"/>
      <c r="L251" s="303"/>
      <c r="M251" s="303"/>
      <c r="N251" s="303"/>
      <c r="O251" s="303"/>
      <c r="P251" s="303"/>
      <c r="Q251" s="303"/>
      <c r="R251" s="303"/>
      <c r="S251" s="303"/>
      <c r="T251" s="303"/>
      <c r="U251" s="303"/>
      <c r="V251" s="303"/>
    </row>
    <row r="252" spans="10:22" ht="11.4">
      <c r="J252" s="303"/>
      <c r="K252" s="303"/>
      <c r="L252" s="303"/>
      <c r="M252" s="303"/>
      <c r="N252" s="303"/>
      <c r="O252" s="303"/>
      <c r="P252" s="303"/>
      <c r="Q252" s="303"/>
      <c r="R252" s="303"/>
      <c r="S252" s="303"/>
      <c r="T252" s="303"/>
      <c r="U252" s="303"/>
      <c r="V252" s="303"/>
    </row>
    <row r="253" spans="10:22" ht="11.4">
      <c r="J253" s="303"/>
      <c r="K253" s="303"/>
      <c r="L253" s="303"/>
      <c r="M253" s="303"/>
      <c r="N253" s="303"/>
      <c r="O253" s="303"/>
      <c r="P253" s="303"/>
      <c r="Q253" s="303"/>
      <c r="R253" s="303"/>
      <c r="S253" s="303"/>
      <c r="T253" s="303"/>
      <c r="U253" s="303"/>
      <c r="V253" s="303"/>
    </row>
    <row r="254" spans="10:22" ht="11.4">
      <c r="J254" s="303"/>
      <c r="K254" s="303"/>
      <c r="L254" s="303"/>
      <c r="M254" s="303"/>
      <c r="N254" s="303"/>
      <c r="O254" s="303"/>
      <c r="P254" s="303"/>
      <c r="Q254" s="303"/>
      <c r="R254" s="303"/>
      <c r="S254" s="303"/>
      <c r="T254" s="303"/>
      <c r="U254" s="303"/>
      <c r="V254" s="303"/>
    </row>
    <row r="255" spans="10:22" ht="11.4">
      <c r="J255" s="303"/>
      <c r="K255" s="303"/>
      <c r="L255" s="303"/>
      <c r="M255" s="303"/>
      <c r="N255" s="303"/>
      <c r="O255" s="303"/>
      <c r="P255" s="303"/>
      <c r="Q255" s="303"/>
      <c r="R255" s="303"/>
      <c r="S255" s="303"/>
      <c r="T255" s="303"/>
      <c r="U255" s="303"/>
      <c r="V255" s="303"/>
    </row>
    <row r="256" spans="10:22" ht="11.4">
      <c r="J256" s="303"/>
      <c r="K256" s="303"/>
      <c r="L256" s="303"/>
      <c r="M256" s="303"/>
      <c r="N256" s="303"/>
      <c r="O256" s="303"/>
      <c r="P256" s="303"/>
      <c r="Q256" s="303"/>
      <c r="R256" s="303"/>
      <c r="S256" s="303"/>
      <c r="T256" s="303"/>
      <c r="U256" s="303"/>
      <c r="V256" s="303"/>
    </row>
    <row r="257" spans="10:22" ht="11.4">
      <c r="J257" s="303"/>
      <c r="K257" s="303"/>
      <c r="L257" s="303"/>
      <c r="M257" s="303"/>
      <c r="N257" s="303"/>
      <c r="O257" s="303"/>
      <c r="P257" s="303"/>
      <c r="Q257" s="303"/>
      <c r="R257" s="303"/>
      <c r="S257" s="303"/>
      <c r="T257" s="303"/>
      <c r="U257" s="303"/>
      <c r="V257" s="303"/>
    </row>
    <row r="258" spans="10:22" ht="11.4">
      <c r="J258" s="303"/>
      <c r="K258" s="303"/>
      <c r="L258" s="303"/>
      <c r="M258" s="303"/>
      <c r="N258" s="303"/>
      <c r="O258" s="303"/>
      <c r="P258" s="303"/>
      <c r="Q258" s="303"/>
      <c r="R258" s="303"/>
      <c r="S258" s="303"/>
      <c r="T258" s="303"/>
      <c r="U258" s="303"/>
      <c r="V258" s="303"/>
    </row>
    <row r="259" spans="10:22" ht="11.4">
      <c r="J259" s="303"/>
      <c r="K259" s="303"/>
      <c r="L259" s="303"/>
      <c r="M259" s="303"/>
      <c r="N259" s="303"/>
      <c r="O259" s="303"/>
      <c r="P259" s="303"/>
      <c r="Q259" s="303"/>
      <c r="R259" s="303"/>
      <c r="S259" s="303"/>
      <c r="T259" s="303"/>
      <c r="U259" s="303"/>
      <c r="V259" s="303"/>
    </row>
    <row r="260" spans="10:22" ht="11.4">
      <c r="J260" s="303"/>
      <c r="K260" s="303"/>
      <c r="L260" s="303"/>
      <c r="M260" s="303"/>
      <c r="N260" s="303"/>
      <c r="O260" s="303"/>
      <c r="P260" s="303"/>
      <c r="Q260" s="303"/>
      <c r="R260" s="303"/>
      <c r="S260" s="303"/>
      <c r="T260" s="303"/>
      <c r="U260" s="303"/>
      <c r="V260" s="303"/>
    </row>
    <row r="261" spans="10:22" ht="11.4">
      <c r="J261" s="303"/>
      <c r="K261" s="303"/>
      <c r="L261" s="303"/>
      <c r="M261" s="303"/>
      <c r="N261" s="303"/>
      <c r="O261" s="303"/>
      <c r="P261" s="303"/>
      <c r="Q261" s="303"/>
      <c r="R261" s="303"/>
      <c r="S261" s="303"/>
      <c r="T261" s="303"/>
      <c r="U261" s="303"/>
      <c r="V261" s="303"/>
    </row>
    <row r="262" spans="10:22" ht="11.4">
      <c r="J262" s="303"/>
      <c r="K262" s="303"/>
      <c r="L262" s="303"/>
      <c r="M262" s="303"/>
      <c r="N262" s="303"/>
      <c r="O262" s="303"/>
      <c r="P262" s="303"/>
      <c r="Q262" s="303"/>
      <c r="R262" s="303"/>
      <c r="S262" s="303"/>
      <c r="T262" s="303"/>
      <c r="U262" s="303"/>
      <c r="V262" s="303"/>
    </row>
    <row r="263" spans="10:22" ht="11.4">
      <c r="J263" s="303"/>
      <c r="K263" s="303"/>
      <c r="L263" s="303"/>
      <c r="M263" s="303"/>
      <c r="N263" s="303"/>
      <c r="O263" s="303"/>
      <c r="P263" s="303"/>
      <c r="Q263" s="303"/>
      <c r="R263" s="303"/>
      <c r="S263" s="303"/>
      <c r="T263" s="303"/>
      <c r="U263" s="303"/>
      <c r="V263" s="303"/>
    </row>
    <row r="264" spans="10:22" ht="11.4">
      <c r="J264" s="303"/>
      <c r="K264" s="303"/>
      <c r="L264" s="303"/>
      <c r="M264" s="303"/>
      <c r="N264" s="303"/>
      <c r="O264" s="303"/>
      <c r="P264" s="303"/>
      <c r="Q264" s="303"/>
      <c r="R264" s="303"/>
      <c r="S264" s="303"/>
      <c r="T264" s="303"/>
      <c r="U264" s="303"/>
      <c r="V264" s="303"/>
    </row>
    <row r="265" spans="10:22" ht="11.4">
      <c r="J265" s="303"/>
      <c r="K265" s="303"/>
      <c r="L265" s="303"/>
      <c r="M265" s="303"/>
      <c r="N265" s="303"/>
      <c r="O265" s="303"/>
      <c r="P265" s="303"/>
      <c r="Q265" s="303"/>
      <c r="R265" s="303"/>
      <c r="S265" s="303"/>
      <c r="T265" s="303"/>
      <c r="U265" s="303"/>
      <c r="V265" s="303"/>
    </row>
    <row r="266" spans="10:22" ht="11.4">
      <c r="J266" s="303"/>
      <c r="K266" s="303"/>
      <c r="L266" s="303"/>
      <c r="M266" s="303"/>
      <c r="N266" s="303"/>
      <c r="O266" s="303"/>
      <c r="P266" s="303"/>
      <c r="Q266" s="303"/>
      <c r="R266" s="303"/>
      <c r="S266" s="303"/>
      <c r="T266" s="303"/>
      <c r="U266" s="303"/>
      <c r="V266" s="303"/>
    </row>
    <row r="267" spans="10:22" ht="11.4">
      <c r="J267" s="303"/>
      <c r="K267" s="303"/>
      <c r="L267" s="303"/>
      <c r="M267" s="303"/>
      <c r="N267" s="303"/>
      <c r="O267" s="303"/>
      <c r="P267" s="303"/>
      <c r="Q267" s="303"/>
      <c r="R267" s="303"/>
      <c r="S267" s="303"/>
      <c r="T267" s="303"/>
      <c r="U267" s="303"/>
      <c r="V267" s="303"/>
    </row>
    <row r="268" spans="10:22" ht="11.4">
      <c r="J268" s="303"/>
      <c r="K268" s="303"/>
      <c r="L268" s="303"/>
      <c r="M268" s="303"/>
      <c r="N268" s="303"/>
      <c r="O268" s="303"/>
      <c r="P268" s="303"/>
      <c r="Q268" s="303"/>
      <c r="R268" s="303"/>
      <c r="S268" s="303"/>
      <c r="T268" s="303"/>
      <c r="U268" s="303"/>
      <c r="V268" s="303"/>
    </row>
    <row r="269" spans="10:22" ht="11.4">
      <c r="J269" s="303"/>
      <c r="K269" s="303"/>
      <c r="L269" s="303"/>
      <c r="M269" s="303"/>
      <c r="N269" s="303"/>
      <c r="O269" s="303"/>
      <c r="P269" s="303"/>
      <c r="Q269" s="303"/>
      <c r="R269" s="303"/>
      <c r="S269" s="303"/>
      <c r="T269" s="303"/>
      <c r="U269" s="303"/>
      <c r="V269" s="303"/>
    </row>
    <row r="270" spans="10:22" ht="11.4">
      <c r="J270" s="303"/>
      <c r="K270" s="303"/>
      <c r="L270" s="303"/>
      <c r="M270" s="303"/>
      <c r="N270" s="303"/>
      <c r="O270" s="303"/>
      <c r="P270" s="303"/>
      <c r="Q270" s="303"/>
      <c r="R270" s="303"/>
      <c r="S270" s="303"/>
      <c r="T270" s="303"/>
      <c r="U270" s="303"/>
      <c r="V270" s="303"/>
    </row>
    <row r="271" spans="10:22" ht="11.4">
      <c r="J271" s="303"/>
      <c r="K271" s="303"/>
      <c r="L271" s="303"/>
      <c r="M271" s="303"/>
      <c r="N271" s="303"/>
      <c r="O271" s="303"/>
      <c r="P271" s="303"/>
      <c r="Q271" s="303"/>
      <c r="R271" s="303"/>
      <c r="S271" s="303"/>
      <c r="T271" s="303"/>
      <c r="U271" s="303"/>
      <c r="V271" s="303"/>
    </row>
  </sheetData>
  <sheetProtection sheet="1"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A00-000000000000}">
      <formula1>0</formula1>
    </dataValidation>
  </dataValidations>
  <hyperlinks>
    <hyperlink ref="A9" location="Summ_Page1_StudentCount" display="1.  Average daily membership:" xr:uid="{00000000-0004-0000-0A00-000000000000}"/>
    <hyperlink ref="A7" location="Summ_Page1_StudentCount" display="Instructions" xr:uid="{00000000-0004-0000-0A00-000001000000}"/>
  </hyperlinks>
  <printOptions horizontalCentered="1"/>
  <pageMargins left="0.25" right="0.25" top="0.25" bottom="0.25" header="0" footer="0.15"/>
  <pageSetup paperSize="5" scale="83" orientation="portrait" r:id="rId1"/>
  <headerFooter alignWithMargins="0">
    <oddFooter>&amp;L&amp;"Times New Roman,Bold"&amp;9Rev. 5/26&amp;K000000 Arizona Department of Education and Auditor General&amp;C&amp;"Times New Roman,Regular"&amp;9&amp;D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U55"/>
  <sheetViews>
    <sheetView showGridLines="0" workbookViewId="0">
      <selection activeCell="E46" sqref="E46"/>
    </sheetView>
  </sheetViews>
  <sheetFormatPr defaultColWidth="5.81640625" defaultRowHeight="10.199999999999999"/>
  <cols>
    <col min="1" max="1" width="1.81640625" style="652" customWidth="1"/>
    <col min="2" max="2" width="14" style="652" customWidth="1"/>
    <col min="3" max="3" width="10.54296875" style="652" customWidth="1"/>
    <col min="4" max="4" width="10.81640625" style="652" customWidth="1"/>
    <col min="5" max="6" width="13" style="652" customWidth="1"/>
    <col min="7" max="7" width="6" style="652" customWidth="1"/>
    <col min="8" max="8" width="5" style="652" customWidth="1"/>
    <col min="9" max="9" width="4.81640625" style="652" customWidth="1"/>
    <col min="10" max="10" width="4" style="652" customWidth="1"/>
    <col min="11" max="11" width="5.81640625" style="652" customWidth="1"/>
    <col min="12" max="12" width="25.54296875" style="652" customWidth="1"/>
    <col min="13" max="13" width="8" style="652" customWidth="1"/>
    <col min="14" max="14" width="8.453125" style="652" customWidth="1"/>
    <col min="15" max="20" width="5.81640625" style="652" customWidth="1"/>
    <col min="21" max="16384" width="5.81640625" style="652"/>
  </cols>
  <sheetData>
    <row r="1" spans="1:21" ht="12.75" customHeight="1">
      <c r="A1" s="1744" t="str">
        <f>IF(OR(Version="Proposed",Version=""),"Summary of School District Proposed Expenditure Budget (Concl'd)",IF(Version="Adopted","Summary of School District Adopted Expenditure Budget (Concl'd)","Summary of School District Revised Expenditure Budget (Concl'd)"))</f>
        <v>Summary of School District Proposed Expenditure Budget (Concl'd)</v>
      </c>
      <c r="B1" s="1744"/>
      <c r="C1" s="1744"/>
      <c r="D1" s="1744"/>
      <c r="E1" s="1744"/>
      <c r="F1" s="1744"/>
      <c r="G1" s="651"/>
      <c r="H1" s="1138" t="s">
        <v>57</v>
      </c>
      <c r="I1" s="1742" t="str">
        <f>Cover!S1</f>
        <v>110424000</v>
      </c>
      <c r="J1" s="1743"/>
      <c r="K1" s="577"/>
      <c r="L1" s="1740" t="s">
        <v>1133</v>
      </c>
      <c r="M1" s="1740"/>
      <c r="N1" s="1740"/>
      <c r="O1" s="577"/>
      <c r="P1" s="577"/>
      <c r="Q1" s="577"/>
      <c r="R1" s="577"/>
      <c r="S1" s="577"/>
      <c r="T1" s="577"/>
      <c r="U1" s="577"/>
    </row>
    <row r="2" spans="1:21" ht="12" customHeight="1">
      <c r="A2" s="1750" t="s">
        <v>339</v>
      </c>
      <c r="B2" s="1751"/>
      <c r="C2" s="1751"/>
      <c r="D2" s="1751"/>
      <c r="E2" s="1751"/>
      <c r="F2" s="1751"/>
      <c r="G2" s="651"/>
      <c r="H2" s="1138" t="s">
        <v>16</v>
      </c>
      <c r="I2" s="1745" t="str">
        <f>Cover!C8</f>
        <v>Proposed</v>
      </c>
      <c r="J2" s="1746"/>
      <c r="K2" s="649"/>
      <c r="L2" s="1740"/>
      <c r="M2" s="1740"/>
      <c r="N2" s="1740"/>
      <c r="O2" s="577"/>
      <c r="P2" s="577"/>
      <c r="Q2" s="577"/>
      <c r="R2" s="577"/>
      <c r="S2" s="577"/>
      <c r="T2" s="577"/>
      <c r="U2" s="577"/>
    </row>
    <row r="3" spans="1:21" ht="9.75" customHeight="1">
      <c r="A3" s="618"/>
      <c r="B3" s="653"/>
      <c r="C3" s="1747" t="s">
        <v>1041</v>
      </c>
      <c r="D3" s="1752"/>
      <c r="E3" s="654" t="s">
        <v>340</v>
      </c>
      <c r="F3" s="655" t="s">
        <v>341</v>
      </c>
      <c r="G3" s="651"/>
      <c r="H3" s="651"/>
      <c r="I3" s="651"/>
      <c r="J3" s="584"/>
      <c r="K3" s="656"/>
      <c r="L3" s="1741"/>
      <c r="M3" s="1741"/>
      <c r="N3" s="1741"/>
      <c r="O3" s="577"/>
      <c r="P3" s="577"/>
      <c r="Q3" s="577"/>
      <c r="R3" s="577"/>
      <c r="S3" s="577"/>
      <c r="T3" s="577"/>
      <c r="U3" s="577"/>
    </row>
    <row r="4" spans="1:21" ht="9" customHeight="1">
      <c r="A4" s="1761" t="s">
        <v>342</v>
      </c>
      <c r="B4" s="1762"/>
      <c r="C4" s="654"/>
      <c r="D4" s="624"/>
      <c r="E4" s="657" t="s">
        <v>335</v>
      </c>
      <c r="F4" s="658" t="s">
        <v>335</v>
      </c>
      <c r="G4" s="1749" t="str">
        <f>IF((F001TotalExp&gt;0)*AND(OR(TotalFTECertSubtotal=0,TotalFTEClassSubtotal=0)),"Incomplete: Please complete the Certified and Classified sections of the Proposed Staffing Table below."," ")</f>
        <v xml:space="preserve"> </v>
      </c>
      <c r="H4" s="1749"/>
      <c r="I4" s="1749"/>
      <c r="J4" s="1749"/>
      <c r="K4" s="656"/>
      <c r="L4" s="659" t="s">
        <v>1132</v>
      </c>
      <c r="M4" s="660" t="s">
        <v>129</v>
      </c>
      <c r="N4" s="661" t="s">
        <v>130</v>
      </c>
      <c r="O4" s="577"/>
      <c r="P4" s="577"/>
      <c r="Q4" s="577"/>
      <c r="R4" s="577"/>
      <c r="S4" s="577"/>
      <c r="T4" s="577"/>
      <c r="U4" s="577"/>
    </row>
    <row r="5" spans="1:21" ht="10.5" customHeight="1">
      <c r="A5" s="662"/>
      <c r="B5" s="663"/>
      <c r="C5" s="664" t="s">
        <v>129</v>
      </c>
      <c r="D5" s="665" t="s">
        <v>130</v>
      </c>
      <c r="E5" s="665" t="s">
        <v>1135</v>
      </c>
      <c r="F5" s="666" t="s">
        <v>1129</v>
      </c>
      <c r="G5" s="1749"/>
      <c r="H5" s="1749"/>
      <c r="I5" s="1749"/>
      <c r="J5" s="1749"/>
      <c r="K5" s="583"/>
      <c r="L5" s="667" t="s">
        <v>206</v>
      </c>
      <c r="M5" s="668">
        <f>F050CurrFY</f>
        <v>0</v>
      </c>
      <c r="N5" s="669">
        <f>F050BudgFY</f>
        <v>0</v>
      </c>
      <c r="O5" s="577"/>
      <c r="P5" s="577"/>
      <c r="Q5" s="577"/>
      <c r="R5" s="577"/>
      <c r="S5" s="577"/>
      <c r="T5" s="577"/>
      <c r="U5" s="577"/>
    </row>
    <row r="6" spans="1:21" ht="10.5" customHeight="1">
      <c r="A6" s="631" t="s">
        <v>343</v>
      </c>
      <c r="B6" s="670"/>
      <c r="C6" s="631">
        <f>F001TotExpCurrFY</f>
        <v>3989693</v>
      </c>
      <c r="D6" s="631">
        <f>F001TotalExp</f>
        <v>4020394</v>
      </c>
      <c r="E6" s="671">
        <f t="shared" ref="E6:E14" si="0">D6-C6</f>
        <v>30701</v>
      </c>
      <c r="F6" s="672">
        <f t="shared" ref="F6:F21" si="1">IF(C6=D6,0,IF(C6&gt;0,E6/C6,""))</f>
        <v>8.0000000000000002E-3</v>
      </c>
      <c r="G6" s="1749"/>
      <c r="H6" s="1749"/>
      <c r="I6" s="1749"/>
      <c r="J6" s="1749"/>
      <c r="K6" s="583"/>
      <c r="L6" s="667" t="s">
        <v>212</v>
      </c>
      <c r="M6" s="668">
        <f>F515CurrFY</f>
        <v>16733</v>
      </c>
      <c r="N6" s="669">
        <f>F515BudgFY</f>
        <v>19000</v>
      </c>
      <c r="O6" s="577"/>
      <c r="P6" s="577"/>
      <c r="Q6" s="577"/>
      <c r="R6" s="577"/>
      <c r="S6" s="577"/>
      <c r="T6" s="577"/>
      <c r="U6" s="577"/>
    </row>
    <row r="7" spans="1:21" ht="10.5" customHeight="1">
      <c r="A7" s="673" t="s">
        <v>344</v>
      </c>
      <c r="B7" s="670"/>
      <c r="C7" s="674">
        <f>F020TotCurrFY</f>
        <v>135000</v>
      </c>
      <c r="D7" s="674">
        <f>F020TotBudgFY</f>
        <v>175000</v>
      </c>
      <c r="E7" s="671">
        <f t="shared" si="0"/>
        <v>40000</v>
      </c>
      <c r="F7" s="672">
        <f t="shared" si="1"/>
        <v>0.29599999999999999</v>
      </c>
      <c r="G7" s="1749"/>
      <c r="H7" s="1749"/>
      <c r="I7" s="1749"/>
      <c r="J7" s="1749"/>
      <c r="K7" s="583"/>
      <c r="L7" s="667" t="s">
        <v>213</v>
      </c>
      <c r="M7" s="668">
        <f>F520CurrFY</f>
        <v>895</v>
      </c>
      <c r="N7" s="669">
        <f>F520BudgFY</f>
        <v>925</v>
      </c>
      <c r="O7" s="577"/>
      <c r="P7" s="577"/>
      <c r="Q7" s="577"/>
      <c r="R7" s="577"/>
      <c r="S7" s="577"/>
      <c r="T7" s="577"/>
      <c r="U7" s="577"/>
    </row>
    <row r="8" spans="1:21" ht="10.5" customHeight="1">
      <c r="A8" s="675" t="s">
        <v>345</v>
      </c>
      <c r="B8" s="676"/>
      <c r="C8" s="674">
        <f>F071CurrFY</f>
        <v>0</v>
      </c>
      <c r="D8" s="640">
        <f>F071BudgFY</f>
        <v>0</v>
      </c>
      <c r="E8" s="671">
        <f t="shared" si="0"/>
        <v>0</v>
      </c>
      <c r="F8" s="672">
        <f t="shared" si="1"/>
        <v>0</v>
      </c>
      <c r="G8" s="1749"/>
      <c r="H8" s="1749"/>
      <c r="I8" s="1749"/>
      <c r="J8" s="1749"/>
      <c r="K8" s="583"/>
      <c r="L8" s="667" t="s">
        <v>215</v>
      </c>
      <c r="M8" s="668">
        <f>F526CurrFY</f>
        <v>37631</v>
      </c>
      <c r="N8" s="669">
        <f>F526BudgFY</f>
        <v>40000</v>
      </c>
      <c r="O8" s="577"/>
      <c r="P8" s="577"/>
      <c r="Q8" s="577"/>
      <c r="R8" s="577"/>
      <c r="S8" s="577"/>
      <c r="T8" s="577"/>
      <c r="U8" s="577"/>
    </row>
    <row r="9" spans="1:21" ht="12" customHeight="1">
      <c r="A9" s="673" t="s">
        <v>346</v>
      </c>
      <c r="B9" s="670"/>
      <c r="C9" s="674">
        <f>F072CurrFY</f>
        <v>0</v>
      </c>
      <c r="D9" s="640">
        <f>F072BudgFY</f>
        <v>0</v>
      </c>
      <c r="E9" s="677">
        <f t="shared" si="0"/>
        <v>0</v>
      </c>
      <c r="F9" s="678">
        <f t="shared" si="1"/>
        <v>0</v>
      </c>
      <c r="G9" s="1749"/>
      <c r="H9" s="1749"/>
      <c r="I9" s="1749"/>
      <c r="J9" s="1749"/>
      <c r="K9" s="679"/>
      <c r="L9" s="667" t="s">
        <v>216</v>
      </c>
      <c r="M9" s="668">
        <f>F530CurrFY</f>
        <v>33053</v>
      </c>
      <c r="N9" s="669">
        <f>F530BudgFY</f>
        <v>42000</v>
      </c>
      <c r="O9" s="577"/>
      <c r="P9" s="577"/>
      <c r="Q9" s="577"/>
      <c r="R9" s="577"/>
      <c r="S9" s="577"/>
      <c r="T9" s="577"/>
      <c r="U9" s="577"/>
    </row>
    <row r="10" spans="1:21" ht="12" customHeight="1">
      <c r="A10" s="680" t="s">
        <v>347</v>
      </c>
      <c r="B10" s="681"/>
      <c r="C10" s="610">
        <f>F010TotalExpPY</f>
        <v>2314476</v>
      </c>
      <c r="D10" s="610">
        <f>F010TotalExp</f>
        <v>2654951</v>
      </c>
      <c r="E10" s="677">
        <f>D10-C10</f>
        <v>340475</v>
      </c>
      <c r="F10" s="678">
        <f t="shared" si="1"/>
        <v>0.14699999999999999</v>
      </c>
      <c r="G10" s="1749"/>
      <c r="H10" s="1749"/>
      <c r="I10" s="1749"/>
      <c r="J10" s="1749"/>
      <c r="K10" s="679"/>
      <c r="L10" s="682" t="s">
        <v>218</v>
      </c>
      <c r="M10" s="668">
        <f>F535CurrFY</f>
        <v>0</v>
      </c>
      <c r="N10" s="669">
        <f>F535BudgFY</f>
        <v>0</v>
      </c>
      <c r="O10" s="577"/>
      <c r="P10" s="577"/>
      <c r="Q10" s="577"/>
      <c r="R10" s="577"/>
      <c r="S10" s="577"/>
      <c r="T10" s="577"/>
      <c r="U10" s="577"/>
    </row>
    <row r="11" spans="1:21" ht="12" customHeight="1">
      <c r="A11" s="683" t="s">
        <v>348</v>
      </c>
      <c r="B11" s="684"/>
      <c r="C11" s="635">
        <f ca="1">TotFedProjFundCurrFY</f>
        <v>2230467</v>
      </c>
      <c r="D11" s="635">
        <f ca="1">TotFedProjFundBudgFY</f>
        <v>2230467</v>
      </c>
      <c r="E11" s="635">
        <f t="shared" ca="1" si="0"/>
        <v>0</v>
      </c>
      <c r="F11" s="685">
        <f t="shared" ca="1" si="1"/>
        <v>0</v>
      </c>
      <c r="G11" s="1749"/>
      <c r="H11" s="1749"/>
      <c r="I11" s="1749"/>
      <c r="J11" s="1749"/>
      <c r="K11" s="679"/>
      <c r="L11" s="686" t="s">
        <v>219</v>
      </c>
      <c r="M11" s="668">
        <f>F540CurrFY</f>
        <v>1660</v>
      </c>
      <c r="N11" s="669">
        <f>F540BudgFY</f>
        <v>1660</v>
      </c>
      <c r="O11" s="577"/>
      <c r="P11" s="577"/>
      <c r="Q11" s="577"/>
      <c r="R11" s="577"/>
      <c r="S11" s="577"/>
      <c r="T11" s="577"/>
      <c r="U11" s="577"/>
    </row>
    <row r="12" spans="1:21" ht="12" customHeight="1">
      <c r="A12" s="687" t="s">
        <v>349</v>
      </c>
      <c r="B12" s="684"/>
      <c r="C12" s="634">
        <f>TotStateProjFundCurrFY</f>
        <v>101760</v>
      </c>
      <c r="D12" s="634">
        <f>TotStateProjFundBudgFY</f>
        <v>101760</v>
      </c>
      <c r="E12" s="634">
        <f t="shared" si="0"/>
        <v>0</v>
      </c>
      <c r="F12" s="685">
        <f t="shared" si="1"/>
        <v>0</v>
      </c>
      <c r="G12" s="1749"/>
      <c r="H12" s="1749"/>
      <c r="I12" s="1749"/>
      <c r="J12" s="1749"/>
      <c r="K12" s="679"/>
      <c r="L12" s="686" t="s">
        <v>221</v>
      </c>
      <c r="M12" s="668">
        <f>F545CurrFY</f>
        <v>0</v>
      </c>
      <c r="N12" s="669">
        <f>F545BudgFY</f>
        <v>0</v>
      </c>
      <c r="O12" s="577"/>
      <c r="P12" s="577"/>
      <c r="Q12" s="577"/>
      <c r="R12" s="577"/>
      <c r="S12" s="577"/>
      <c r="T12" s="577"/>
      <c r="U12" s="577"/>
    </row>
    <row r="13" spans="1:21" ht="12" customHeight="1">
      <c r="A13" s="683" t="s">
        <v>180</v>
      </c>
      <c r="B13" s="684"/>
      <c r="C13" s="634">
        <f>F610TotalCurrFY</f>
        <v>360248</v>
      </c>
      <c r="D13" s="634">
        <f>F610TotalBudgFY</f>
        <v>360248</v>
      </c>
      <c r="E13" s="634">
        <f t="shared" si="0"/>
        <v>0</v>
      </c>
      <c r="F13" s="685">
        <f t="shared" si="1"/>
        <v>0</v>
      </c>
      <c r="G13" s="1749"/>
      <c r="H13" s="1749"/>
      <c r="I13" s="1749"/>
      <c r="J13" s="1749"/>
      <c r="K13" s="679"/>
      <c r="L13" s="667" t="s">
        <v>223</v>
      </c>
      <c r="M13" s="668">
        <f>F550CurrFY</f>
        <v>180243</v>
      </c>
      <c r="N13" s="669">
        <f>F550BudgFY</f>
        <v>290000</v>
      </c>
      <c r="O13" s="577"/>
      <c r="P13" s="577"/>
      <c r="Q13" s="577"/>
      <c r="R13" s="577"/>
      <c r="S13" s="577"/>
      <c r="T13" s="577"/>
      <c r="U13" s="577"/>
    </row>
    <row r="14" spans="1:21" ht="12" customHeight="1">
      <c r="A14" s="683" t="s">
        <v>193</v>
      </c>
      <c r="B14" s="684"/>
      <c r="C14" s="634">
        <f>F695TotalCurrFY</f>
        <v>0</v>
      </c>
      <c r="D14" s="634">
        <f>F695TotalBudgFY</f>
        <v>0</v>
      </c>
      <c r="E14" s="634">
        <f t="shared" si="0"/>
        <v>0</v>
      </c>
      <c r="F14" s="685">
        <f t="shared" si="1"/>
        <v>0</v>
      </c>
      <c r="G14" s="1749"/>
      <c r="H14" s="1749"/>
      <c r="I14" s="1749"/>
      <c r="J14" s="1749"/>
      <c r="K14" s="679"/>
      <c r="L14" s="667" t="s">
        <v>225</v>
      </c>
      <c r="M14" s="668">
        <f>F555CurrFY</f>
        <v>12339</v>
      </c>
      <c r="N14" s="669">
        <f>F555BudgFY</f>
        <v>13000</v>
      </c>
      <c r="O14" s="577"/>
      <c r="P14" s="577"/>
      <c r="Q14" s="577"/>
      <c r="R14" s="577"/>
      <c r="S14" s="577"/>
      <c r="T14" s="577"/>
      <c r="U14" s="577"/>
    </row>
    <row r="15" spans="1:21" ht="12" customHeight="1">
      <c r="A15" s="683" t="s">
        <v>194</v>
      </c>
      <c r="B15" s="684"/>
      <c r="C15" s="634">
        <f>F620TotalCurrFY</f>
        <v>0</v>
      </c>
      <c r="D15" s="634">
        <f>F620TotalBudgFY</f>
        <v>0</v>
      </c>
      <c r="E15" s="634">
        <f t="shared" ref="E15:E21" si="2">D15-C15</f>
        <v>0</v>
      </c>
      <c r="F15" s="685">
        <f t="shared" si="1"/>
        <v>0</v>
      </c>
      <c r="G15" s="583"/>
      <c r="H15" s="583"/>
      <c r="I15" s="583"/>
      <c r="J15" s="583"/>
      <c r="K15" s="679"/>
      <c r="L15" s="667" t="s">
        <v>227</v>
      </c>
      <c r="M15" s="668">
        <f>F565CurrFY</f>
        <v>61026</v>
      </c>
      <c r="N15" s="669">
        <f>F565BudgFY</f>
        <v>62000</v>
      </c>
      <c r="O15" s="577"/>
      <c r="P15" s="577"/>
      <c r="Q15" s="577"/>
      <c r="R15" s="577"/>
      <c r="S15" s="577"/>
      <c r="T15" s="577"/>
      <c r="U15" s="577"/>
    </row>
    <row r="16" spans="1:21" ht="12" customHeight="1">
      <c r="A16" s="683" t="s">
        <v>350</v>
      </c>
      <c r="B16" s="684"/>
      <c r="C16" s="634">
        <f>F700CurrFY</f>
        <v>5700</v>
      </c>
      <c r="D16" s="634">
        <f>F700BudgFY</f>
        <v>0</v>
      </c>
      <c r="E16" s="634">
        <f t="shared" si="2"/>
        <v>-5700</v>
      </c>
      <c r="F16" s="685">
        <f t="shared" si="1"/>
        <v>-1</v>
      </c>
      <c r="G16" s="1749" t="str">
        <f>IF((F001P200Subtotal&gt;0)*AND(OR((SUM(TotalFTESpecEdTeacher+TotalFTESpecEdStaff=0,(SUM(SPEDTeacher+SPEDStaff=0)))))),"Incomplete: Please complete the Special Education section of the Proposed Staffing Table below."," ")</f>
        <v xml:space="preserve"> </v>
      </c>
      <c r="H16" s="1749"/>
      <c r="I16" s="1749"/>
      <c r="J16" s="1749"/>
      <c r="K16" s="583"/>
      <c r="L16" s="667" t="s">
        <v>229</v>
      </c>
      <c r="M16" s="668">
        <f>F570CurrFY</f>
        <v>77346</v>
      </c>
      <c r="N16" s="669">
        <f>F570BudgFY</f>
        <v>77346</v>
      </c>
      <c r="O16" s="577"/>
      <c r="P16" s="577"/>
      <c r="Q16" s="577"/>
      <c r="R16" s="577"/>
      <c r="S16" s="577"/>
      <c r="T16" s="577"/>
      <c r="U16" s="577"/>
    </row>
    <row r="17" spans="1:21" ht="12" customHeight="1">
      <c r="A17" s="285" t="s">
        <v>351</v>
      </c>
      <c r="B17" s="688"/>
      <c r="C17" s="640">
        <f>F500CurrFY</f>
        <v>27527</v>
      </c>
      <c r="D17" s="634">
        <f>F500BudgFY</f>
        <v>30000</v>
      </c>
      <c r="E17" s="634">
        <f t="shared" si="2"/>
        <v>2473</v>
      </c>
      <c r="F17" s="685">
        <f t="shared" si="1"/>
        <v>0.09</v>
      </c>
      <c r="G17" s="1749"/>
      <c r="H17" s="1749"/>
      <c r="I17" s="1749"/>
      <c r="J17" s="1749"/>
      <c r="K17" s="679"/>
      <c r="L17" s="667" t="s">
        <v>231</v>
      </c>
      <c r="M17" s="668">
        <f>F575CurrFY</f>
        <v>1</v>
      </c>
      <c r="N17" s="669">
        <f>F575BudgFY</f>
        <v>0</v>
      </c>
      <c r="O17" s="577"/>
      <c r="P17" s="577"/>
      <c r="Q17" s="577"/>
      <c r="R17" s="577"/>
      <c r="S17" s="577"/>
      <c r="T17" s="577"/>
      <c r="U17" s="577"/>
    </row>
    <row r="18" spans="1:21" ht="12" customHeight="1">
      <c r="A18" s="683" t="s">
        <v>352</v>
      </c>
      <c r="B18" s="684"/>
      <c r="C18" s="634">
        <f>F525CurrFY</f>
        <v>54485</v>
      </c>
      <c r="D18" s="634">
        <f>F525BudgFY</f>
        <v>60000</v>
      </c>
      <c r="E18" s="634">
        <f t="shared" si="2"/>
        <v>5515</v>
      </c>
      <c r="F18" s="685">
        <f t="shared" si="1"/>
        <v>0.10100000000000001</v>
      </c>
      <c r="G18" s="1749"/>
      <c r="H18" s="1749"/>
      <c r="I18" s="1749"/>
      <c r="J18" s="1749"/>
      <c r="K18" s="679"/>
      <c r="L18" s="667" t="s">
        <v>233</v>
      </c>
      <c r="M18" s="668">
        <f>F580CurrFY</f>
        <v>0</v>
      </c>
      <c r="N18" s="669">
        <f>F580BudgFY</f>
        <v>0</v>
      </c>
      <c r="O18" s="577"/>
      <c r="P18" s="577"/>
      <c r="Q18" s="577"/>
      <c r="R18" s="577"/>
      <c r="S18" s="577"/>
      <c r="T18" s="577"/>
      <c r="U18" s="577"/>
    </row>
    <row r="19" spans="1:21" ht="12" customHeight="1">
      <c r="A19" s="683" t="s">
        <v>192</v>
      </c>
      <c r="B19" s="684"/>
      <c r="C19" s="634">
        <f>F630TotalCurrFY</f>
        <v>0</v>
      </c>
      <c r="D19" s="634">
        <f>F630TotalBudgFY</f>
        <v>0</v>
      </c>
      <c r="E19" s="634">
        <f t="shared" si="2"/>
        <v>0</v>
      </c>
      <c r="F19" s="685">
        <f t="shared" si="1"/>
        <v>0</v>
      </c>
      <c r="G19" s="1749"/>
      <c r="H19" s="1749"/>
      <c r="I19" s="1749"/>
      <c r="J19" s="1749"/>
      <c r="K19" s="679"/>
      <c r="L19" s="667" t="s">
        <v>235</v>
      </c>
      <c r="M19" s="668">
        <f>F585CurrFY</f>
        <v>20381</v>
      </c>
      <c r="N19" s="669">
        <f>F585BudgFY</f>
        <v>22000</v>
      </c>
      <c r="O19" s="577"/>
      <c r="P19" s="577"/>
      <c r="Q19" s="577"/>
      <c r="R19" s="577"/>
      <c r="S19" s="577"/>
      <c r="T19" s="577"/>
      <c r="U19" s="577"/>
    </row>
    <row r="20" spans="1:21" ht="12" customHeight="1">
      <c r="A20" s="683" t="s">
        <v>353</v>
      </c>
      <c r="B20" s="684"/>
      <c r="C20" s="634">
        <f>F510CurrFY</f>
        <v>233114</v>
      </c>
      <c r="D20" s="634">
        <f>F510BudgFY</f>
        <v>233114</v>
      </c>
      <c r="E20" s="634">
        <f t="shared" si="2"/>
        <v>0</v>
      </c>
      <c r="F20" s="685">
        <f t="shared" si="1"/>
        <v>0</v>
      </c>
      <c r="G20" s="1749"/>
      <c r="H20" s="1749"/>
      <c r="I20" s="1749"/>
      <c r="J20" s="1749"/>
      <c r="K20" s="679"/>
      <c r="L20" s="686" t="s">
        <v>236</v>
      </c>
      <c r="M20" s="668">
        <f>F590CurrFY</f>
        <v>14</v>
      </c>
      <c r="N20" s="669">
        <f>F590BudgFY</f>
        <v>0</v>
      </c>
      <c r="O20" s="577"/>
      <c r="P20" s="577"/>
      <c r="Q20" s="577"/>
      <c r="R20" s="577"/>
      <c r="S20" s="577"/>
      <c r="T20" s="577"/>
      <c r="U20" s="577"/>
    </row>
    <row r="21" spans="1:21" ht="12" customHeight="1">
      <c r="A21" s="639" t="s">
        <v>83</v>
      </c>
      <c r="B21" s="689"/>
      <c r="C21" s="640">
        <f>M37</f>
        <v>465656</v>
      </c>
      <c r="D21" s="640">
        <f>N37</f>
        <v>1067931</v>
      </c>
      <c r="E21" s="640">
        <f t="shared" si="2"/>
        <v>602275</v>
      </c>
      <c r="F21" s="690">
        <f t="shared" si="1"/>
        <v>1.2929999999999999</v>
      </c>
      <c r="G21" s="1749"/>
      <c r="H21" s="1749"/>
      <c r="I21" s="1749"/>
      <c r="J21" s="1749"/>
      <c r="K21" s="679"/>
      <c r="L21" s="667" t="s">
        <v>237</v>
      </c>
      <c r="M21" s="668">
        <f>F595CurrFY</f>
        <v>0</v>
      </c>
      <c r="N21" s="669">
        <f>F595BudgFY</f>
        <v>0</v>
      </c>
      <c r="O21" s="577"/>
      <c r="P21" s="577"/>
      <c r="Q21" s="577"/>
      <c r="R21" s="577"/>
      <c r="S21" s="577"/>
      <c r="T21" s="577"/>
      <c r="U21" s="577"/>
    </row>
    <row r="22" spans="1:21" ht="12" customHeight="1">
      <c r="A22" s="577"/>
      <c r="B22" s="577"/>
      <c r="C22" s="577"/>
      <c r="D22" s="577"/>
      <c r="E22" s="577"/>
      <c r="F22" s="577"/>
      <c r="G22" s="1749"/>
      <c r="H22" s="1749"/>
      <c r="I22" s="1749"/>
      <c r="J22" s="1749"/>
      <c r="K22" s="679"/>
      <c r="L22" s="667" t="s">
        <v>238</v>
      </c>
      <c r="M22" s="668">
        <f>F596CurrFY</f>
        <v>0</v>
      </c>
      <c r="N22" s="669">
        <f>F596BudgFY</f>
        <v>0</v>
      </c>
      <c r="O22" s="577"/>
      <c r="P22" s="577"/>
      <c r="Q22" s="577"/>
      <c r="R22" s="577"/>
      <c r="S22" s="577"/>
      <c r="T22" s="577"/>
      <c r="U22" s="577"/>
    </row>
    <row r="23" spans="1:21" ht="14.25" customHeight="1">
      <c r="A23" s="1755" t="s">
        <v>1134</v>
      </c>
      <c r="B23" s="1756"/>
      <c r="C23" s="1756"/>
      <c r="D23" s="1756"/>
      <c r="E23" s="1757"/>
      <c r="F23" s="691"/>
      <c r="G23" s="1749"/>
      <c r="H23" s="1749"/>
      <c r="I23" s="1749"/>
      <c r="J23" s="1749"/>
      <c r="K23" s="679"/>
      <c r="L23" s="682" t="s">
        <v>240</v>
      </c>
      <c r="M23" s="668">
        <f>F597CurrFY</f>
        <v>0</v>
      </c>
      <c r="N23" s="669">
        <f>F597BudgFY</f>
        <v>0</v>
      </c>
      <c r="O23" s="577"/>
      <c r="P23" s="577"/>
      <c r="Q23" s="577"/>
      <c r="R23" s="577"/>
      <c r="S23" s="577"/>
      <c r="T23" s="577"/>
      <c r="U23" s="577"/>
    </row>
    <row r="24" spans="1:21" ht="12" customHeight="1" thickBot="1">
      <c r="A24" s="1753" t="s">
        <v>354</v>
      </c>
      <c r="B24" s="1754"/>
      <c r="C24" s="1754"/>
      <c r="D24" s="665" t="s">
        <v>129</v>
      </c>
      <c r="E24" s="665" t="s">
        <v>130</v>
      </c>
      <c r="F24" s="577"/>
      <c r="G24" s="1749"/>
      <c r="H24" s="1749"/>
      <c r="I24" s="1749"/>
      <c r="J24" s="1749"/>
      <c r="K24" s="583"/>
      <c r="L24" s="686" t="s">
        <v>241</v>
      </c>
      <c r="M24" s="668">
        <f>F639CurrFY</f>
        <v>0</v>
      </c>
      <c r="N24" s="669">
        <f>F639BudgFY</f>
        <v>0</v>
      </c>
      <c r="O24" s="577"/>
      <c r="P24" s="577"/>
      <c r="Q24" s="577"/>
      <c r="R24" s="577"/>
      <c r="S24" s="577"/>
      <c r="T24" s="577"/>
      <c r="U24" s="577"/>
    </row>
    <row r="25" spans="1:21" ht="12" customHeight="1">
      <c r="A25" s="692" t="s">
        <v>895</v>
      </c>
      <c r="B25" s="693"/>
      <c r="C25" s="693"/>
      <c r="D25" s="694">
        <f>F001P200PYDisabilityTot</f>
        <v>698875</v>
      </c>
      <c r="E25" s="694">
        <f>F001P200Subtotal</f>
        <v>698875</v>
      </c>
      <c r="F25" s="577"/>
      <c r="G25" s="1749"/>
      <c r="H25" s="1749"/>
      <c r="I25" s="1749"/>
      <c r="J25" s="1749"/>
      <c r="K25" s="583"/>
      <c r="L25" s="686" t="s">
        <v>243</v>
      </c>
      <c r="M25" s="668">
        <f>F650CurrFY</f>
        <v>701</v>
      </c>
      <c r="N25" s="669">
        <f>F650BudgFY</f>
        <v>0</v>
      </c>
      <c r="O25" s="577"/>
      <c r="P25" s="577"/>
      <c r="Q25" s="577"/>
      <c r="R25" s="577"/>
      <c r="S25" s="577"/>
      <c r="T25" s="577"/>
      <c r="U25" s="577"/>
    </row>
    <row r="26" spans="1:21" ht="11.25" customHeight="1">
      <c r="A26" s="695" t="s">
        <v>983</v>
      </c>
      <c r="B26" s="584"/>
      <c r="C26" s="584"/>
      <c r="D26" s="639">
        <f>SPEDGiftedEdCurrFY</f>
        <v>0</v>
      </c>
      <c r="E26" s="639">
        <f>SPEDGiftedEdBudgFY</f>
        <v>0</v>
      </c>
      <c r="F26" s="577"/>
      <c r="G26" s="696"/>
      <c r="H26" s="584"/>
      <c r="I26" s="584"/>
      <c r="J26" s="584"/>
      <c r="K26" s="583"/>
      <c r="L26" s="686" t="s">
        <v>244</v>
      </c>
      <c r="M26" s="668">
        <f>F660CurrFY</f>
        <v>0</v>
      </c>
      <c r="N26" s="669">
        <f>F660BudgFY</f>
        <v>0</v>
      </c>
      <c r="O26" s="577"/>
      <c r="P26" s="577"/>
      <c r="Q26" s="577"/>
      <c r="R26" s="577"/>
      <c r="S26" s="577"/>
      <c r="T26" s="577"/>
      <c r="U26" s="577"/>
    </row>
    <row r="27" spans="1:21" ht="12" customHeight="1">
      <c r="A27" s="695" t="s">
        <v>984</v>
      </c>
      <c r="B27" s="584"/>
      <c r="C27" s="584"/>
      <c r="D27" s="639">
        <f>SPEDRemedialEdCurrFY</f>
        <v>0</v>
      </c>
      <c r="E27" s="639">
        <f>SPEDRemedialEdBudgFY</f>
        <v>0</v>
      </c>
      <c r="F27" s="577"/>
      <c r="G27" s="577"/>
      <c r="H27" s="577"/>
      <c r="I27" s="577"/>
      <c r="J27" s="577"/>
      <c r="K27" s="583"/>
      <c r="L27" s="686" t="s">
        <v>245</v>
      </c>
      <c r="M27" s="668">
        <f>F665CurrFY</f>
        <v>0</v>
      </c>
      <c r="N27" s="669">
        <f>F665BudgFY</f>
        <v>0</v>
      </c>
      <c r="O27" s="577"/>
      <c r="P27" s="577"/>
      <c r="Q27" s="577"/>
      <c r="R27" s="577"/>
      <c r="S27" s="577"/>
      <c r="T27" s="577"/>
      <c r="U27" s="577"/>
    </row>
    <row r="28" spans="1:21" ht="12" customHeight="1">
      <c r="A28" s="697" t="s">
        <v>985</v>
      </c>
      <c r="B28" s="693"/>
      <c r="C28" s="693"/>
      <c r="D28" s="639">
        <f>SPEDELLIncCostCurrFY</f>
        <v>0</v>
      </c>
      <c r="E28" s="639">
        <f>SPEDELLIncCostBudgFY</f>
        <v>0</v>
      </c>
      <c r="F28" s="577"/>
      <c r="G28" s="577"/>
      <c r="H28" s="577"/>
      <c r="I28" s="577"/>
      <c r="J28" s="577"/>
      <c r="K28" s="583"/>
      <c r="L28" s="686" t="s">
        <v>246</v>
      </c>
      <c r="M28" s="668">
        <f>F686CurrFY</f>
        <v>191</v>
      </c>
      <c r="N28" s="669">
        <f>F686BudgFY</f>
        <v>0</v>
      </c>
      <c r="O28" s="577"/>
      <c r="P28" s="577"/>
      <c r="Q28" s="577"/>
      <c r="R28" s="577"/>
      <c r="S28" s="577"/>
      <c r="T28" s="577"/>
      <c r="U28" s="577"/>
    </row>
    <row r="29" spans="1:21" ht="12" customHeight="1">
      <c r="A29" s="697" t="s">
        <v>986</v>
      </c>
      <c r="B29" s="693"/>
      <c r="C29" s="693"/>
      <c r="D29" s="639">
        <f>SPEDELLCompInstrCurrFY</f>
        <v>0</v>
      </c>
      <c r="E29" s="639">
        <f>SPEDELLCompInstrBudgFY</f>
        <v>0</v>
      </c>
      <c r="F29" s="577"/>
      <c r="G29" s="577"/>
      <c r="H29" s="577"/>
      <c r="I29" s="577"/>
      <c r="J29" s="577"/>
      <c r="K29" s="583"/>
      <c r="L29" s="686" t="s">
        <v>247</v>
      </c>
      <c r="M29" s="698">
        <f>F691CurrFY</f>
        <v>23442</v>
      </c>
      <c r="N29" s="699">
        <f>F691BudgFY</f>
        <v>500000</v>
      </c>
      <c r="O29" s="577"/>
      <c r="P29" s="577"/>
      <c r="Q29" s="577"/>
      <c r="R29" s="577"/>
      <c r="S29" s="577"/>
      <c r="T29" s="577"/>
      <c r="U29" s="577"/>
    </row>
    <row r="30" spans="1:21" ht="12" customHeight="1">
      <c r="A30" s="695" t="s">
        <v>987</v>
      </c>
      <c r="B30" s="584"/>
      <c r="C30" s="584"/>
      <c r="D30" s="639">
        <f>SPEDVocTechEdCurrFY</f>
        <v>0</v>
      </c>
      <c r="E30" s="639">
        <f>SPEDVocTechEdBudgFY</f>
        <v>0</v>
      </c>
      <c r="F30" s="577"/>
      <c r="G30" s="577"/>
      <c r="H30" s="577"/>
      <c r="I30" s="577"/>
      <c r="J30" s="577"/>
      <c r="K30" s="577"/>
      <c r="L30" s="686" t="s">
        <v>251</v>
      </c>
      <c r="M30" s="698">
        <f>F720CurrFY</f>
        <v>0</v>
      </c>
      <c r="N30" s="699">
        <f>F720BudgFY</f>
        <v>0</v>
      </c>
      <c r="O30" s="700"/>
      <c r="P30" s="1304"/>
      <c r="Q30" s="1304"/>
      <c r="R30" s="1304"/>
      <c r="S30" s="1304"/>
      <c r="T30" s="1304"/>
      <c r="U30" s="594"/>
    </row>
    <row r="31" spans="1:21" ht="12" customHeight="1">
      <c r="A31" s="695" t="s">
        <v>988</v>
      </c>
      <c r="B31" s="584"/>
      <c r="C31" s="584"/>
      <c r="D31" s="640">
        <f>SPEDCareerEdCurrFY</f>
        <v>0</v>
      </c>
      <c r="E31" s="640">
        <f>SPEDCareerEdBudgFY</f>
        <v>0</v>
      </c>
      <c r="F31" s="577"/>
      <c r="G31" s="577"/>
      <c r="H31" s="577"/>
      <c r="I31" s="577"/>
      <c r="J31" s="577"/>
      <c r="K31" s="577"/>
      <c r="L31" s="701" t="s">
        <v>254</v>
      </c>
      <c r="M31" s="698">
        <f>F850CurrFY</f>
        <v>0</v>
      </c>
      <c r="N31" s="699">
        <f>F850BudgFY</f>
        <v>0</v>
      </c>
      <c r="O31" s="700"/>
      <c r="P31" s="1304"/>
      <c r="Q31" s="1304"/>
      <c r="R31" s="1304"/>
      <c r="S31" s="1304"/>
      <c r="T31" s="1304"/>
      <c r="U31" s="577"/>
    </row>
    <row r="32" spans="1:21" ht="12" customHeight="1" thickBot="1">
      <c r="A32" s="702" t="s">
        <v>989</v>
      </c>
      <c r="B32" s="693"/>
      <c r="C32" s="693"/>
      <c r="D32" s="703">
        <f t="array" ref="D32">[1]!SummCTEDBY</f>
        <v>0</v>
      </c>
      <c r="E32" s="703">
        <f>JTEDBudgFY</f>
        <v>0</v>
      </c>
      <c r="F32" s="577"/>
      <c r="G32" s="577"/>
      <c r="H32" s="577"/>
      <c r="I32" s="577"/>
      <c r="J32" s="577"/>
      <c r="K32" s="577"/>
      <c r="L32" s="667" t="str">
        <f>'Page 6'!O38</f>
        <v>Other _____________________________________</v>
      </c>
      <c r="M32" s="668">
        <f>OtherFundsCurrFY</f>
        <v>0</v>
      </c>
      <c r="N32" s="669">
        <f>OtherFundsBudgFY</f>
        <v>0</v>
      </c>
      <c r="O32" s="577"/>
      <c r="P32" s="577"/>
      <c r="Q32" s="577"/>
      <c r="R32" s="577"/>
      <c r="S32" s="577"/>
      <c r="T32" s="577"/>
      <c r="U32" s="577"/>
    </row>
    <row r="33" spans="1:21" ht="12" customHeight="1" thickBot="1">
      <c r="A33" s="704" t="s">
        <v>355</v>
      </c>
      <c r="B33" s="705" t="s">
        <v>360</v>
      </c>
      <c r="C33" s="705"/>
      <c r="D33" s="706">
        <f>SUM(D25:D32)</f>
        <v>698875</v>
      </c>
      <c r="E33" s="706">
        <f>SUM(E25:E32)</f>
        <v>698875</v>
      </c>
      <c r="F33" s="1763" t="str">
        <f>IF(SUM(E25:E32)=F001P200TotBudgFY,"","INVALID. The amount should equal the total budgeted amount reported on line 24, page 1.")</f>
        <v/>
      </c>
      <c r="G33" s="1763"/>
      <c r="H33" s="1763"/>
      <c r="I33" s="1763"/>
      <c r="J33" s="1763"/>
      <c r="K33" s="577"/>
      <c r="L33" s="707" t="str">
        <f>'Page 6'!O40</f>
        <v>9___ Self-Insurance</v>
      </c>
      <c r="M33" s="668">
        <f>F9__SelfInsCurrFY</f>
        <v>0</v>
      </c>
      <c r="N33" s="669">
        <f>F9__SelfInsBudgFY</f>
        <v>0</v>
      </c>
      <c r="O33" s="577"/>
      <c r="P33" s="577"/>
      <c r="Q33" s="577"/>
      <c r="R33" s="577"/>
      <c r="S33" s="577"/>
      <c r="T33" s="577"/>
      <c r="U33" s="577"/>
    </row>
    <row r="34" spans="1:21" ht="12" customHeight="1" thickTop="1">
      <c r="A34" s="577"/>
      <c r="B34" s="577"/>
      <c r="C34" s="577"/>
      <c r="D34" s="577"/>
      <c r="E34" s="577"/>
      <c r="F34" s="1763"/>
      <c r="G34" s="1763"/>
      <c r="H34" s="1763"/>
      <c r="I34" s="1763"/>
      <c r="J34" s="1763"/>
      <c r="K34" s="577"/>
      <c r="L34" s="686" t="s">
        <v>259</v>
      </c>
      <c r="M34" s="668">
        <f>F955CurrFY</f>
        <v>0</v>
      </c>
      <c r="N34" s="669">
        <f>F955BudgFY</f>
        <v>0</v>
      </c>
      <c r="O34" s="577"/>
      <c r="P34" s="577"/>
      <c r="Q34" s="577"/>
      <c r="R34" s="577"/>
      <c r="S34" s="577"/>
      <c r="T34" s="577"/>
      <c r="U34" s="577"/>
    </row>
    <row r="35" spans="1:21" ht="10.5" customHeight="1">
      <c r="A35" s="1758" t="s">
        <v>356</v>
      </c>
      <c r="B35" s="1759"/>
      <c r="C35" s="1759"/>
      <c r="D35" s="1759"/>
      <c r="E35" s="1759"/>
      <c r="F35" s="1759"/>
      <c r="G35" s="1759"/>
      <c r="H35" s="1760"/>
      <c r="I35" s="577"/>
      <c r="J35" s="577"/>
      <c r="K35" s="577"/>
      <c r="L35" s="667" t="str">
        <f>'Page 6'!O42</f>
        <v>9__  OPEB</v>
      </c>
      <c r="M35" s="668">
        <f>F9__OPEBCurrFY</f>
        <v>0</v>
      </c>
      <c r="N35" s="669">
        <f>F9__OPEBBudgFY</f>
        <v>0</v>
      </c>
      <c r="O35" s="577"/>
      <c r="P35" s="577"/>
      <c r="Q35" s="577"/>
      <c r="R35" s="577"/>
      <c r="S35" s="577"/>
      <c r="T35" s="577"/>
      <c r="U35" s="577"/>
    </row>
    <row r="36" spans="1:21" ht="21" customHeight="1">
      <c r="A36" s="625" t="s">
        <v>1137</v>
      </c>
      <c r="B36" s="626"/>
      <c r="C36" s="626"/>
      <c r="D36" s="708" t="s">
        <v>1136</v>
      </c>
      <c r="E36" s="709" t="s">
        <v>357</v>
      </c>
      <c r="F36" s="710" t="s">
        <v>358</v>
      </c>
      <c r="G36" s="1747" t="s">
        <v>1138</v>
      </c>
      <c r="H36" s="1748"/>
      <c r="I36" s="577"/>
      <c r="J36" s="577"/>
      <c r="K36" s="577"/>
      <c r="L36" s="707" t="str">
        <f>'Page 6'!O43</f>
        <v>9___   ______________________</v>
      </c>
      <c r="M36" s="668">
        <f>F9__OtherCurrFY</f>
        <v>0</v>
      </c>
      <c r="N36" s="669">
        <f>F9__OtherBudgFY</f>
        <v>0</v>
      </c>
      <c r="O36" s="577"/>
      <c r="P36" s="577"/>
      <c r="Q36" s="577"/>
      <c r="R36" s="577"/>
      <c r="S36" s="577"/>
      <c r="T36" s="577"/>
      <c r="U36" s="577"/>
    </row>
    <row r="37" spans="1:21" ht="12" customHeight="1">
      <c r="A37" s="711" t="s">
        <v>359</v>
      </c>
      <c r="B37" s="584"/>
      <c r="C37" s="584"/>
      <c r="D37" s="693"/>
      <c r="E37" s="693"/>
      <c r="F37" s="584"/>
      <c r="G37" s="705"/>
      <c r="H37" s="712"/>
      <c r="I37" s="577"/>
      <c r="J37" s="577"/>
      <c r="K37" s="577"/>
      <c r="L37" s="713" t="s">
        <v>360</v>
      </c>
      <c r="M37" s="714">
        <f>SUM(M5:M36)</f>
        <v>465656</v>
      </c>
      <c r="N37" s="669">
        <f>SUM(N5:N36)</f>
        <v>1067931</v>
      </c>
      <c r="O37" s="577"/>
      <c r="P37" s="577"/>
      <c r="Q37" s="577"/>
      <c r="R37" s="577"/>
      <c r="S37" s="577"/>
      <c r="T37" s="577"/>
      <c r="U37" s="577"/>
    </row>
    <row r="38" spans="1:21" ht="12" customHeight="1">
      <c r="A38" s="695" t="s">
        <v>361</v>
      </c>
      <c r="B38" s="583"/>
      <c r="C38" s="583"/>
      <c r="D38" s="69"/>
      <c r="E38" s="69">
        <v>3</v>
      </c>
      <c r="F38" s="715">
        <f>D38+E38</f>
        <v>3</v>
      </c>
      <c r="G38" s="716" t="s">
        <v>362</v>
      </c>
      <c r="H38" s="1460">
        <f>IF(F38&gt;0,ROUND(BudgetYearADM/F38,1)," ")</f>
        <v>112</v>
      </c>
      <c r="I38" s="577"/>
      <c r="J38" s="577"/>
      <c r="K38" s="577"/>
      <c r="L38" s="577"/>
      <c r="M38" s="577"/>
      <c r="N38" s="603"/>
      <c r="O38" s="577"/>
      <c r="P38" s="577"/>
      <c r="Q38" s="577"/>
      <c r="R38" s="577"/>
      <c r="S38" s="577"/>
      <c r="T38" s="577"/>
      <c r="U38" s="577"/>
    </row>
    <row r="39" spans="1:21" ht="12" customHeight="1">
      <c r="A39" s="695" t="s">
        <v>363</v>
      </c>
      <c r="B39" s="583"/>
      <c r="C39" s="583"/>
      <c r="D39" s="70"/>
      <c r="E39" s="69">
        <v>15</v>
      </c>
      <c r="F39" s="715">
        <f>D39+E39</f>
        <v>15</v>
      </c>
      <c r="G39" s="718" t="s">
        <v>362</v>
      </c>
      <c r="H39" s="1460">
        <f>IF(F39&gt;0,ROUND(BudgetYearADM/F39,1)," ")</f>
        <v>22</v>
      </c>
      <c r="I39" s="577"/>
      <c r="J39" s="577"/>
      <c r="K39" s="577"/>
      <c r="L39" s="577"/>
      <c r="M39" s="577"/>
      <c r="N39" s="577"/>
      <c r="O39" s="577"/>
      <c r="P39" s="577"/>
      <c r="Q39" s="577"/>
      <c r="R39" s="577"/>
      <c r="S39" s="577"/>
      <c r="T39" s="577"/>
      <c r="U39" s="577"/>
    </row>
    <row r="40" spans="1:21" ht="12" customHeight="1">
      <c r="A40" s="695" t="s">
        <v>83</v>
      </c>
      <c r="B40" s="583"/>
      <c r="C40" s="583"/>
      <c r="D40" s="70"/>
      <c r="E40" s="70">
        <v>2</v>
      </c>
      <c r="F40" s="715">
        <f>D40+E40</f>
        <v>2</v>
      </c>
      <c r="G40" s="718" t="s">
        <v>362</v>
      </c>
      <c r="H40" s="1460">
        <f>IF(F40&gt;0,ROUND(BudgetYearADM/F40,1)," ")</f>
        <v>168</v>
      </c>
      <c r="I40" s="577"/>
      <c r="J40" s="577"/>
      <c r="K40" s="577"/>
      <c r="L40" s="577"/>
      <c r="M40" s="577"/>
      <c r="N40" s="577"/>
      <c r="O40" s="577"/>
      <c r="P40" s="577"/>
      <c r="Q40" s="577"/>
      <c r="R40" s="577"/>
      <c r="S40" s="577"/>
      <c r="T40" s="577"/>
      <c r="U40" s="577"/>
    </row>
    <row r="41" spans="1:21" ht="12" customHeight="1">
      <c r="A41" s="719"/>
      <c r="B41" s="696" t="s">
        <v>364</v>
      </c>
      <c r="C41" s="696"/>
      <c r="D41" s="717">
        <f>SUM(D38:D40)</f>
        <v>0</v>
      </c>
      <c r="E41" s="717">
        <f>SUM(E38:E40)</f>
        <v>20</v>
      </c>
      <c r="F41" s="715">
        <f>D41+E41</f>
        <v>20</v>
      </c>
      <c r="G41" s="718" t="s">
        <v>362</v>
      </c>
      <c r="H41" s="1460">
        <f>IF(F41&gt;0,ROUND(BudgetYearADM/F41,1)," ")</f>
        <v>17</v>
      </c>
      <c r="I41" s="577"/>
      <c r="J41" s="577"/>
      <c r="K41" s="577"/>
      <c r="L41" s="577"/>
      <c r="M41" s="577"/>
      <c r="N41" s="577"/>
      <c r="O41" s="577"/>
      <c r="P41" s="577"/>
      <c r="Q41" s="577"/>
      <c r="R41" s="577"/>
      <c r="S41" s="577"/>
      <c r="T41" s="577"/>
      <c r="U41" s="577"/>
    </row>
    <row r="42" spans="1:21" ht="12" customHeight="1">
      <c r="A42" s="695" t="s">
        <v>365</v>
      </c>
      <c r="B42" s="584"/>
      <c r="C42" s="584"/>
      <c r="D42" s="720"/>
      <c r="E42" s="720"/>
      <c r="F42" s="650"/>
      <c r="G42" s="721"/>
      <c r="H42" s="1460"/>
      <c r="I42" s="577"/>
      <c r="J42" s="577"/>
      <c r="K42" s="577"/>
      <c r="L42" s="577"/>
      <c r="M42" s="577"/>
      <c r="N42" s="577"/>
      <c r="O42" s="577"/>
      <c r="P42" s="577"/>
      <c r="Q42" s="577"/>
      <c r="R42" s="577"/>
      <c r="S42" s="577"/>
      <c r="T42" s="577"/>
      <c r="U42" s="577"/>
    </row>
    <row r="43" spans="1:21" ht="12" customHeight="1">
      <c r="A43" s="695" t="s">
        <v>366</v>
      </c>
      <c r="B43" s="583"/>
      <c r="C43" s="583"/>
      <c r="D43" s="69"/>
      <c r="E43" s="69">
        <v>5</v>
      </c>
      <c r="F43" s="715">
        <f>D43+E43</f>
        <v>5</v>
      </c>
      <c r="G43" s="722" t="s">
        <v>362</v>
      </c>
      <c r="H43" s="1460">
        <f>IF(F43&gt;0,ROUND(BudgetYearADM/F43,1)," ")</f>
        <v>67</v>
      </c>
      <c r="I43" s="577"/>
      <c r="J43" s="577"/>
      <c r="K43" s="577"/>
      <c r="L43" s="577"/>
      <c r="M43" s="577"/>
      <c r="N43" s="577"/>
      <c r="O43" s="577"/>
      <c r="P43" s="577"/>
      <c r="Q43" s="577"/>
      <c r="R43" s="577"/>
      <c r="S43" s="577"/>
      <c r="T43" s="577"/>
      <c r="U43" s="577"/>
    </row>
    <row r="44" spans="1:21">
      <c r="A44" s="695" t="s">
        <v>367</v>
      </c>
      <c r="B44" s="583"/>
      <c r="C44" s="583"/>
      <c r="D44" s="70"/>
      <c r="E44" s="69">
        <v>10</v>
      </c>
      <c r="F44" s="715">
        <f>D44+E44</f>
        <v>10</v>
      </c>
      <c r="G44" s="718" t="s">
        <v>362</v>
      </c>
      <c r="H44" s="1460">
        <f>IF(F44&gt;0,ROUND(BudgetYearADM/F44,1)," ")</f>
        <v>34</v>
      </c>
      <c r="I44" s="577"/>
      <c r="J44" s="577"/>
      <c r="K44" s="577"/>
      <c r="L44" s="577"/>
      <c r="M44" s="577"/>
      <c r="N44" s="577"/>
      <c r="O44" s="577"/>
      <c r="P44" s="577"/>
      <c r="Q44" s="577"/>
      <c r="R44" s="577"/>
      <c r="S44" s="577"/>
      <c r="T44" s="577"/>
      <c r="U44" s="577"/>
    </row>
    <row r="45" spans="1:21" ht="12" customHeight="1">
      <c r="A45" s="723" t="s">
        <v>83</v>
      </c>
      <c r="B45" s="583"/>
      <c r="C45" s="583"/>
      <c r="D45" s="70"/>
      <c r="E45" s="69">
        <v>22</v>
      </c>
      <c r="F45" s="715">
        <f>D45+E45</f>
        <v>22</v>
      </c>
      <c r="G45" s="718" t="s">
        <v>362</v>
      </c>
      <c r="H45" s="1460">
        <f>IF(F45&gt;0,ROUND(BudgetYearADM/F45,1)," ")</f>
        <v>15</v>
      </c>
      <c r="I45" s="583"/>
      <c r="J45" s="650"/>
      <c r="K45" s="724"/>
      <c r="L45" s="577"/>
      <c r="M45" s="577"/>
      <c r="N45" s="577"/>
      <c r="O45" s="577"/>
      <c r="P45" s="577"/>
      <c r="Q45" s="577"/>
      <c r="R45" s="577"/>
      <c r="S45" s="577"/>
      <c r="T45" s="577"/>
      <c r="U45" s="577"/>
    </row>
    <row r="46" spans="1:21" ht="12" customHeight="1">
      <c r="A46" s="725"/>
      <c r="B46" s="696" t="s">
        <v>364</v>
      </c>
      <c r="C46" s="696"/>
      <c r="D46" s="717">
        <f>SUM(D43:D45)</f>
        <v>0</v>
      </c>
      <c r="E46" s="717">
        <f>SUM(E43:E45)</f>
        <v>37</v>
      </c>
      <c r="F46" s="715">
        <f>D46+E46</f>
        <v>37</v>
      </c>
      <c r="G46" s="718" t="s">
        <v>362</v>
      </c>
      <c r="H46" s="1460">
        <f>IF(F46&gt;0,ROUND(BudgetYearADM/F46,1)," ")</f>
        <v>9</v>
      </c>
      <c r="I46" s="577"/>
      <c r="J46" s="577"/>
      <c r="K46" s="577"/>
      <c r="L46" s="577"/>
      <c r="M46" s="577"/>
      <c r="N46" s="577"/>
      <c r="O46" s="577"/>
      <c r="P46" s="577"/>
      <c r="Q46" s="577"/>
      <c r="R46" s="577"/>
      <c r="S46" s="577"/>
      <c r="T46" s="577"/>
      <c r="U46" s="577"/>
    </row>
    <row r="47" spans="1:21" ht="12" customHeight="1">
      <c r="A47" s="726"/>
      <c r="B47" s="721" t="s">
        <v>360</v>
      </c>
      <c r="C47" s="727"/>
      <c r="D47" s="717">
        <f>D41+D46</f>
        <v>0</v>
      </c>
      <c r="E47" s="717">
        <f>E41+E46</f>
        <v>57</v>
      </c>
      <c r="F47" s="715">
        <f>D47+E47</f>
        <v>57</v>
      </c>
      <c r="G47" s="718" t="s">
        <v>362</v>
      </c>
      <c r="H47" s="1460">
        <f>IF(F47&gt;0,ROUND(BudgetYearADM/F47,1)," ")</f>
        <v>6</v>
      </c>
      <c r="I47" s="728"/>
      <c r="J47" s="583"/>
      <c r="K47" s="583"/>
      <c r="L47" s="729"/>
      <c r="M47" s="577"/>
      <c r="N47" s="577"/>
      <c r="O47" s="577"/>
      <c r="P47" s="577"/>
      <c r="Q47" s="577"/>
      <c r="R47" s="577"/>
      <c r="S47" s="577"/>
      <c r="T47" s="577"/>
      <c r="U47" s="577"/>
    </row>
    <row r="48" spans="1:21" ht="6.75" customHeight="1">
      <c r="A48" s="730"/>
      <c r="B48" s="650"/>
      <c r="C48" s="650"/>
      <c r="D48" s="1461"/>
      <c r="E48" s="1461"/>
      <c r="F48" s="1462"/>
      <c r="G48" s="1463"/>
      <c r="H48" s="1464"/>
      <c r="I48" s="583"/>
      <c r="J48" s="583"/>
      <c r="K48" s="583"/>
      <c r="L48" s="577"/>
      <c r="M48" s="577"/>
      <c r="N48" s="577"/>
      <c r="O48" s="577"/>
      <c r="P48" s="577"/>
      <c r="Q48" s="577"/>
      <c r="R48" s="577"/>
      <c r="S48" s="577"/>
      <c r="T48" s="577"/>
      <c r="U48" s="577"/>
    </row>
    <row r="49" spans="1:21" ht="12" customHeight="1">
      <c r="A49" s="730" t="s">
        <v>368</v>
      </c>
      <c r="B49" s="650"/>
      <c r="C49" s="650"/>
      <c r="D49" s="1461"/>
      <c r="E49" s="1461"/>
      <c r="F49" s="1462"/>
      <c r="G49" s="1463"/>
      <c r="H49" s="1465"/>
      <c r="I49" s="583"/>
      <c r="J49" s="583"/>
      <c r="K49" s="583"/>
      <c r="L49" s="583"/>
      <c r="M49" s="577"/>
      <c r="N49" s="577"/>
      <c r="O49" s="577"/>
      <c r="P49" s="577"/>
      <c r="Q49" s="577"/>
      <c r="R49" s="577"/>
      <c r="S49" s="577"/>
      <c r="T49" s="577"/>
      <c r="U49" s="577"/>
    </row>
    <row r="50" spans="1:21" ht="10.5" customHeight="1">
      <c r="A50" s="730" t="s">
        <v>369</v>
      </c>
      <c r="B50" s="584"/>
      <c r="C50" s="584"/>
      <c r="D50" s="71"/>
      <c r="E50" s="72">
        <v>3</v>
      </c>
      <c r="F50" s="715">
        <f>D50+E50</f>
        <v>3</v>
      </c>
      <c r="G50" s="1466" t="s">
        <v>370</v>
      </c>
      <c r="H50" s="1467">
        <v>18</v>
      </c>
      <c r="I50" s="583"/>
      <c r="J50" s="583"/>
      <c r="K50" s="583"/>
      <c r="L50" s="583"/>
      <c r="M50" s="577"/>
      <c r="N50" s="577"/>
      <c r="O50" s="577"/>
      <c r="P50" s="577"/>
      <c r="Q50" s="577"/>
      <c r="R50" s="577"/>
      <c r="S50" s="577"/>
      <c r="T50" s="577"/>
      <c r="U50" s="577"/>
    </row>
    <row r="51" spans="1:21">
      <c r="A51" s="732" t="s">
        <v>371</v>
      </c>
      <c r="B51" s="733"/>
      <c r="C51" s="734"/>
      <c r="D51" s="71"/>
      <c r="E51" s="72">
        <v>3</v>
      </c>
      <c r="F51" s="715">
        <f>D51+E51</f>
        <v>3</v>
      </c>
      <c r="G51" s="1466" t="s">
        <v>370</v>
      </c>
      <c r="H51" s="1468">
        <v>18</v>
      </c>
      <c r="I51" s="649"/>
      <c r="J51" s="649"/>
      <c r="K51" s="649"/>
      <c r="L51" s="583"/>
      <c r="M51" s="577"/>
      <c r="N51" s="577"/>
      <c r="O51" s="577"/>
      <c r="P51" s="577"/>
      <c r="Q51" s="577"/>
      <c r="R51" s="577"/>
      <c r="S51" s="577"/>
      <c r="T51" s="577"/>
      <c r="U51" s="577"/>
    </row>
    <row r="52" spans="1:21">
      <c r="A52" s="577"/>
      <c r="B52" s="577"/>
      <c r="C52" s="577"/>
      <c r="D52" s="577"/>
      <c r="E52" s="577"/>
      <c r="F52" s="577"/>
      <c r="G52" s="577"/>
      <c r="H52" s="577"/>
      <c r="I52" s="577"/>
      <c r="J52" s="577"/>
      <c r="K52" s="583"/>
      <c r="L52" s="583"/>
      <c r="M52" s="577"/>
      <c r="N52" s="577"/>
      <c r="O52" s="577"/>
      <c r="P52" s="577"/>
      <c r="Q52" s="577"/>
      <c r="R52" s="577"/>
      <c r="S52" s="577"/>
      <c r="T52" s="577"/>
      <c r="U52" s="577"/>
    </row>
    <row r="53" spans="1:21">
      <c r="A53" s="577"/>
      <c r="B53" s="577"/>
      <c r="C53" s="577"/>
      <c r="D53" s="577"/>
      <c r="E53" s="577"/>
      <c r="F53" s="577"/>
      <c r="G53" s="577"/>
      <c r="H53" s="577"/>
      <c r="I53" s="577"/>
      <c r="J53" s="577"/>
      <c r="K53" s="583"/>
      <c r="L53" s="649"/>
      <c r="M53" s="577"/>
      <c r="N53" s="577"/>
      <c r="O53" s="577"/>
      <c r="P53" s="577"/>
      <c r="Q53" s="577"/>
      <c r="R53" s="577"/>
      <c r="S53" s="577"/>
      <c r="T53" s="577"/>
      <c r="U53" s="577"/>
    </row>
    <row r="54" spans="1:21">
      <c r="A54" s="577"/>
      <c r="B54" s="577"/>
      <c r="C54" s="577"/>
      <c r="D54" s="577"/>
      <c r="E54" s="577"/>
      <c r="F54" s="577"/>
      <c r="G54" s="577"/>
      <c r="H54" s="577"/>
      <c r="I54" s="577"/>
      <c r="J54" s="577"/>
      <c r="K54" s="583"/>
      <c r="L54" s="577"/>
      <c r="M54" s="577"/>
      <c r="N54" s="577"/>
      <c r="O54" s="577"/>
      <c r="P54" s="577"/>
      <c r="Q54" s="577"/>
      <c r="R54" s="577"/>
      <c r="S54" s="577"/>
      <c r="T54" s="577"/>
      <c r="U54" s="577"/>
    </row>
    <row r="55" spans="1:21">
      <c r="A55" s="577"/>
      <c r="B55" s="577"/>
      <c r="C55" s="577"/>
      <c r="D55" s="577"/>
      <c r="E55" s="577"/>
      <c r="F55" s="577"/>
      <c r="G55" s="577"/>
      <c r="H55" s="577"/>
      <c r="I55" s="577"/>
      <c r="J55" s="577"/>
      <c r="K55" s="731"/>
      <c r="L55" s="577"/>
      <c r="M55" s="577"/>
      <c r="N55" s="577"/>
      <c r="O55" s="577"/>
      <c r="P55" s="577"/>
      <c r="Q55" s="577"/>
      <c r="R55" s="577"/>
      <c r="S55" s="577"/>
      <c r="T55" s="577"/>
      <c r="U55" s="577"/>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5/26&amp;K000000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Q53"/>
  <sheetViews>
    <sheetView showGridLines="0" workbookViewId="0">
      <selection activeCell="I5" sqref="I5"/>
    </sheetView>
  </sheetViews>
  <sheetFormatPr defaultColWidth="8.81640625" defaultRowHeight="13.8"/>
  <cols>
    <col min="1" max="1" width="4" style="150" customWidth="1"/>
    <col min="2" max="2" width="1.54296875" style="150" customWidth="1"/>
    <col min="3" max="3" width="1.81640625" style="150" customWidth="1"/>
    <col min="4" max="4" width="7.54296875" style="150" customWidth="1"/>
    <col min="5" max="5" width="27.453125" style="150" customWidth="1"/>
    <col min="6" max="6" width="1.453125" style="150" customWidth="1"/>
    <col min="7" max="7" width="12" style="150" customWidth="1"/>
    <col min="8" max="8" width="2.81640625" style="150" customWidth="1"/>
    <col min="9" max="9" width="10" style="150" customWidth="1"/>
    <col min="10" max="10" width="3" style="150" customWidth="1"/>
    <col min="11" max="11" width="2.81640625" style="150" customWidth="1"/>
    <col min="12" max="12" width="10" style="150" customWidth="1"/>
    <col min="13" max="13" width="3.81640625" style="150" customWidth="1"/>
    <col min="14" max="14" width="6.453125" style="150" customWidth="1"/>
    <col min="15" max="20" width="8.81640625" style="150" customWidth="1"/>
    <col min="21" max="16384" width="8.81640625" style="150"/>
  </cols>
  <sheetData>
    <row r="1" spans="1:17" ht="15" customHeight="1">
      <c r="A1" s="1118" t="s">
        <v>140</v>
      </c>
      <c r="B1" s="1312"/>
      <c r="C1" s="96"/>
      <c r="E1" s="1773" t="str">
        <f>DistrictName</f>
        <v>Stanfield Elementary School District</v>
      </c>
      <c r="F1" s="1773"/>
      <c r="G1" s="1773"/>
      <c r="H1" s="1312"/>
      <c r="I1" s="1612" t="s">
        <v>202</v>
      </c>
      <c r="J1" s="1774"/>
      <c r="K1" s="1774"/>
      <c r="L1" s="98" t="str">
        <f>Cover!S1</f>
        <v>110424000</v>
      </c>
      <c r="M1" s="96"/>
      <c r="O1" s="138"/>
    </row>
    <row r="2" spans="1:17" ht="14.25" customHeight="1">
      <c r="A2" s="1571" t="s">
        <v>692</v>
      </c>
      <c r="B2" s="1571"/>
      <c r="C2" s="1571"/>
      <c r="D2" s="1571"/>
      <c r="E2" s="3"/>
      <c r="F2" s="3"/>
      <c r="G2" s="3"/>
      <c r="H2" s="3"/>
      <c r="I2" s="1267"/>
      <c r="J2" s="5"/>
      <c r="K2" s="1266" t="s">
        <v>16</v>
      </c>
      <c r="L2" s="735" t="str">
        <f>Cover!C8</f>
        <v>Proposed</v>
      </c>
      <c r="M2" s="96"/>
      <c r="N2" s="148"/>
      <c r="O2" s="138"/>
    </row>
    <row r="3" spans="1:17">
      <c r="B3" s="103"/>
      <c r="C3" s="103"/>
      <c r="D3" s="103"/>
      <c r="E3" s="1482" t="s">
        <v>1329</v>
      </c>
      <c r="F3" s="103"/>
      <c r="G3" s="103"/>
      <c r="H3" s="103"/>
      <c r="I3" s="103"/>
      <c r="J3" s="103"/>
      <c r="K3" s="103"/>
      <c r="L3" s="103"/>
      <c r="M3" s="103"/>
      <c r="N3" s="151"/>
    </row>
    <row r="4" spans="1:17" ht="8.25" customHeight="1">
      <c r="A4" s="736"/>
      <c r="B4" s="103"/>
      <c r="C4" s="103"/>
      <c r="D4" s="103"/>
      <c r="E4" s="103"/>
      <c r="F4" s="103"/>
      <c r="G4" s="103"/>
      <c r="H4" s="103"/>
      <c r="I4" s="103"/>
      <c r="J4" s="103"/>
      <c r="K4" s="103"/>
      <c r="L4" s="103"/>
      <c r="M4" s="103"/>
      <c r="N4" s="151"/>
    </row>
    <row r="5" spans="1:17" ht="13.5" customHeight="1">
      <c r="A5" s="180" t="s">
        <v>6</v>
      </c>
      <c r="B5" s="103"/>
      <c r="C5" s="1587" t="s">
        <v>1330</v>
      </c>
      <c r="D5" s="1587"/>
      <c r="E5" s="1587"/>
      <c r="F5" s="1587"/>
      <c r="G5" s="1587"/>
      <c r="H5" s="1267" t="s">
        <v>274</v>
      </c>
      <c r="I5" s="490">
        <f t="array" ref="I5">[1]!AdjTNTBaseLimit+[1]!ExcessTNTLimit</f>
        <v>0</v>
      </c>
      <c r="J5" s="103"/>
      <c r="K5" s="103"/>
      <c r="L5" s="103"/>
      <c r="M5" s="103"/>
      <c r="N5" s="151"/>
    </row>
    <row r="6" spans="1:17" ht="12" customHeight="1">
      <c r="A6" s="180" t="s">
        <v>8</v>
      </c>
      <c r="B6" s="103"/>
      <c r="C6" s="96" t="s">
        <v>372</v>
      </c>
      <c r="D6" s="96"/>
      <c r="E6" s="96"/>
      <c r="F6" s="1772" t="str">
        <f>IF(SUM(I11:I14)=0,IF(I7&gt;0,"No budget on lines 4 -7 below. Click here for Instructions",""),"")</f>
        <v/>
      </c>
      <c r="G6" s="1772"/>
      <c r="H6" s="1267"/>
      <c r="I6" s="19"/>
      <c r="J6" s="103"/>
      <c r="K6" s="103"/>
      <c r="L6" s="103"/>
      <c r="M6" s="103"/>
      <c r="N6" s="151"/>
    </row>
    <row r="7" spans="1:17" ht="14.25" customHeight="1" thickBot="1">
      <c r="A7" s="175" t="s">
        <v>22</v>
      </c>
      <c r="B7" s="103"/>
      <c r="C7" s="96" t="s">
        <v>1331</v>
      </c>
      <c r="D7" s="96"/>
      <c r="E7" s="96"/>
      <c r="F7" s="1772"/>
      <c r="G7" s="1772"/>
      <c r="H7" s="1267" t="s">
        <v>274</v>
      </c>
      <c r="I7" s="737">
        <f>I5-I6</f>
        <v>0</v>
      </c>
      <c r="J7" s="103"/>
      <c r="K7" s="103"/>
      <c r="L7" s="103"/>
      <c r="M7" s="103"/>
      <c r="N7" s="151"/>
      <c r="Q7" s="1481"/>
    </row>
    <row r="8" spans="1:17" ht="13.5" customHeight="1" thickTop="1">
      <c r="A8" s="175"/>
      <c r="B8" s="96"/>
      <c r="C8" s="496"/>
      <c r="D8" s="496"/>
      <c r="E8" s="496"/>
      <c r="F8" s="1772"/>
      <c r="G8" s="1772"/>
      <c r="H8" s="1267"/>
      <c r="I8" s="1278"/>
      <c r="J8" s="96"/>
      <c r="K8" s="1767" t="s">
        <v>373</v>
      </c>
      <c r="L8" s="1767"/>
      <c r="M8" s="1767"/>
      <c r="N8" s="738"/>
    </row>
    <row r="9" spans="1:17" ht="13.5" customHeight="1">
      <c r="A9" s="116" t="s">
        <v>1332</v>
      </c>
      <c r="B9" s="96"/>
      <c r="D9" s="116"/>
      <c r="E9" s="96"/>
      <c r="F9" s="96"/>
      <c r="G9" s="96"/>
      <c r="H9" s="96"/>
      <c r="I9" s="1278"/>
      <c r="J9" s="736"/>
      <c r="K9" s="1767"/>
      <c r="L9" s="1767"/>
      <c r="M9" s="1767"/>
      <c r="N9" s="738"/>
    </row>
    <row r="10" spans="1:17" ht="7.5" customHeight="1">
      <c r="A10" s="1267"/>
      <c r="B10" s="96"/>
      <c r="C10" s="96"/>
      <c r="D10" s="96"/>
      <c r="E10" s="96"/>
      <c r="F10" s="96"/>
      <c r="G10" s="96"/>
      <c r="H10" s="96"/>
      <c r="I10" s="1278"/>
      <c r="J10" s="736"/>
      <c r="K10" s="1767"/>
      <c r="L10" s="1767"/>
      <c r="M10" s="1767"/>
      <c r="N10" s="738"/>
    </row>
    <row r="11" spans="1:17" ht="13.5" customHeight="1">
      <c r="A11" s="739" t="s">
        <v>40</v>
      </c>
      <c r="B11" s="96"/>
      <c r="C11" s="1768" t="s">
        <v>374</v>
      </c>
      <c r="D11" s="1768"/>
      <c r="E11" s="1768"/>
      <c r="F11" s="1295"/>
      <c r="G11" s="1295"/>
      <c r="H11" s="1267" t="s">
        <v>274</v>
      </c>
      <c r="I11" s="490">
        <v>0</v>
      </c>
      <c r="J11" s="96"/>
      <c r="K11" s="1267"/>
      <c r="L11" s="740" t="str">
        <f>IF(ISERROR(I11/$I$35),"",I11/$I$35)</f>
        <v/>
      </c>
      <c r="M11" s="96"/>
      <c r="N11" s="151"/>
    </row>
    <row r="12" spans="1:17" ht="13.5" customHeight="1">
      <c r="A12" s="328" t="s">
        <v>98</v>
      </c>
      <c r="B12" s="96"/>
      <c r="C12" s="96" t="s">
        <v>375</v>
      </c>
      <c r="D12" s="96"/>
      <c r="E12" s="96"/>
      <c r="F12" s="96"/>
      <c r="G12" s="96"/>
      <c r="H12" s="1267"/>
      <c r="I12" s="338">
        <f>F001P530</f>
        <v>0</v>
      </c>
      <c r="J12" s="96"/>
      <c r="K12" s="1267"/>
      <c r="L12" s="740" t="str">
        <f>IF(ISERROR(I12/$I$35),"",I12/$I$35)</f>
        <v/>
      </c>
      <c r="M12" s="96"/>
      <c r="N12" s="151"/>
    </row>
    <row r="13" spans="1:17" ht="13.5" customHeight="1">
      <c r="A13" s="328" t="s">
        <v>99</v>
      </c>
      <c r="B13" s="96"/>
      <c r="C13" s="1769" t="s">
        <v>1042</v>
      </c>
      <c r="D13" s="1769"/>
      <c r="E13" s="1769"/>
      <c r="F13" s="1769"/>
      <c r="G13" s="1769"/>
      <c r="H13" s="1267"/>
      <c r="I13" s="490">
        <v>0</v>
      </c>
      <c r="J13" s="96"/>
      <c r="K13" s="1267"/>
      <c r="L13" s="740" t="str">
        <f>IF(ISERROR(I13/$I$35),"",I13/$I$35)</f>
        <v/>
      </c>
      <c r="M13" s="96"/>
      <c r="N13" s="151"/>
    </row>
    <row r="14" spans="1:17" ht="13.5" customHeight="1">
      <c r="A14" s="328" t="s">
        <v>100</v>
      </c>
      <c r="B14" s="96"/>
      <c r="C14" s="96" t="s">
        <v>376</v>
      </c>
      <c r="D14" s="96"/>
      <c r="E14" s="96"/>
      <c r="F14" s="96"/>
      <c r="G14" s="96"/>
      <c r="H14" s="1267" t="s">
        <v>274</v>
      </c>
      <c r="I14" s="490">
        <f>SSA_MO+SSA_UCO</f>
        <v>0</v>
      </c>
      <c r="J14" s="96"/>
      <c r="K14" s="1267"/>
      <c r="L14" s="740" t="str">
        <f>IF(ISERROR(I14/$I$35),"",I14/$I$35)</f>
        <v/>
      </c>
      <c r="M14" s="96"/>
      <c r="N14" s="151"/>
    </row>
    <row r="15" spans="1:17" ht="15.75" customHeight="1">
      <c r="A15" s="116" t="s">
        <v>1333</v>
      </c>
      <c r="B15" s="96"/>
      <c r="D15" s="96"/>
      <c r="E15" s="96"/>
      <c r="F15" s="96"/>
      <c r="G15" s="96"/>
      <c r="H15" s="1267"/>
      <c r="I15" s="492"/>
      <c r="J15" s="96"/>
      <c r="K15" s="1267"/>
      <c r="L15" s="108"/>
      <c r="M15" s="96"/>
      <c r="N15" s="151"/>
    </row>
    <row r="16" spans="1:17" ht="24" customHeight="1">
      <c r="A16" s="739" t="s">
        <v>102</v>
      </c>
      <c r="B16" s="96"/>
      <c r="C16" s="1770" t="s">
        <v>1043</v>
      </c>
      <c r="D16" s="1770"/>
      <c r="E16" s="1770"/>
      <c r="F16" s="1770"/>
      <c r="G16" s="1770"/>
      <c r="H16" s="1267"/>
      <c r="I16" s="1269"/>
      <c r="J16" s="96"/>
      <c r="K16" s="1267"/>
      <c r="L16" s="108"/>
      <c r="M16" s="96"/>
      <c r="N16" s="151"/>
    </row>
    <row r="17" spans="1:14" ht="13.5" customHeight="1">
      <c r="A17" s="739"/>
      <c r="B17" s="96"/>
      <c r="C17" s="742" t="s">
        <v>377</v>
      </c>
      <c r="D17" s="119" t="s">
        <v>1334</v>
      </c>
      <c r="E17" s="1310"/>
      <c r="F17" s="1310" t="s">
        <v>274</v>
      </c>
      <c r="G17" s="32"/>
      <c r="H17" s="1267"/>
      <c r="I17" s="1269"/>
      <c r="J17" s="96"/>
      <c r="K17" s="1267"/>
    </row>
    <row r="18" spans="1:14" ht="25.5" customHeight="1">
      <c r="A18" s="739"/>
      <c r="B18" s="96"/>
      <c r="C18" s="119" t="s">
        <v>378</v>
      </c>
      <c r="D18" s="1633" t="s">
        <v>1335</v>
      </c>
      <c r="E18" s="1633"/>
      <c r="F18" s="1272"/>
      <c r="G18" s="490">
        <f>SUM('[1]Truth in Tax'!$I$11:$I$13)</f>
        <v>0</v>
      </c>
      <c r="H18" s="1267"/>
      <c r="I18" s="1269"/>
      <c r="J18" s="96"/>
      <c r="K18" s="1267"/>
      <c r="L18" s="108"/>
      <c r="M18" s="96"/>
      <c r="N18" s="151"/>
    </row>
    <row r="19" spans="1:14" ht="13.5" customHeight="1">
      <c r="A19" s="328"/>
      <c r="B19" s="96"/>
      <c r="C19" s="119" t="s">
        <v>379</v>
      </c>
      <c r="D19" s="1771" t="s">
        <v>380</v>
      </c>
      <c r="E19" s="1771"/>
      <c r="F19" s="1771"/>
      <c r="G19" s="1771"/>
      <c r="H19" s="1267" t="s">
        <v>274</v>
      </c>
      <c r="I19" s="490">
        <f>IF(G17&lt;&gt;0,G17-G18,0)</f>
        <v>0</v>
      </c>
      <c r="J19" s="96"/>
      <c r="K19" s="1267"/>
    </row>
    <row r="20" spans="1:14" ht="13.5" customHeight="1">
      <c r="A20" s="328" t="s">
        <v>103</v>
      </c>
      <c r="B20" s="96"/>
      <c r="C20" s="96" t="s">
        <v>381</v>
      </c>
      <c r="D20" s="3"/>
      <c r="E20" s="3"/>
      <c r="F20" s="3"/>
      <c r="G20" s="3"/>
      <c r="H20" s="1267"/>
      <c r="I20" s="492"/>
      <c r="J20" s="96"/>
      <c r="K20" s="1267"/>
    </row>
    <row r="21" spans="1:14" ht="13.5" customHeight="1">
      <c r="A21" s="328"/>
      <c r="B21" s="96"/>
      <c r="C21" s="96" t="s">
        <v>377</v>
      </c>
      <c r="D21" s="96" t="s">
        <v>1336</v>
      </c>
      <c r="E21" s="1267"/>
      <c r="F21" s="1267" t="s">
        <v>274</v>
      </c>
      <c r="G21" s="32"/>
      <c r="H21" s="1267"/>
      <c r="I21" s="1269"/>
      <c r="J21" s="96"/>
      <c r="K21" s="1267"/>
      <c r="L21" s="96"/>
      <c r="M21" s="96"/>
      <c r="N21" s="151"/>
    </row>
    <row r="22" spans="1:14" ht="24" customHeight="1">
      <c r="A22" s="739"/>
      <c r="B22" s="96"/>
      <c r="C22" s="119" t="s">
        <v>378</v>
      </c>
      <c r="D22" s="1770" t="s">
        <v>1337</v>
      </c>
      <c r="E22" s="1770"/>
      <c r="F22" s="1305" t="s">
        <v>274</v>
      </c>
      <c r="G22" s="490">
        <f>'[1]Truth in Tax'!$I$14</f>
        <v>0</v>
      </c>
      <c r="H22" s="1267"/>
      <c r="I22" s="1269"/>
      <c r="J22" s="96"/>
      <c r="K22" s="1267"/>
      <c r="L22" s="96"/>
      <c r="M22" s="96"/>
      <c r="N22" s="151"/>
    </row>
    <row r="23" spans="1:14" ht="25.5" customHeight="1">
      <c r="A23" s="328"/>
      <c r="B23" s="96"/>
      <c r="C23" s="119" t="s">
        <v>379</v>
      </c>
      <c r="D23" s="1770" t="s">
        <v>382</v>
      </c>
      <c r="E23" s="1770"/>
      <c r="F23" s="1305"/>
      <c r="G23" s="96"/>
      <c r="H23" s="1267" t="s">
        <v>274</v>
      </c>
      <c r="I23" s="490">
        <f>IF(G21&lt;&gt;0,G21-G22,0)</f>
        <v>0</v>
      </c>
      <c r="J23" s="96"/>
      <c r="K23" s="1267"/>
      <c r="L23" s="96"/>
      <c r="M23" s="96"/>
      <c r="N23" s="151"/>
    </row>
    <row r="24" spans="1:14" ht="13.5" customHeight="1" thickBot="1">
      <c r="A24" s="328" t="s">
        <v>104</v>
      </c>
      <c r="B24" s="96"/>
      <c r="C24" s="96" t="s">
        <v>383</v>
      </c>
      <c r="D24" s="96"/>
      <c r="E24" s="96"/>
      <c r="F24" s="96"/>
      <c r="G24" s="96"/>
      <c r="H24" s="1267" t="s">
        <v>274</v>
      </c>
      <c r="I24" s="1114">
        <f>SUM(I11:I14)+I19+I23</f>
        <v>0</v>
      </c>
      <c r="J24" s="96"/>
      <c r="K24" s="96"/>
      <c r="L24" s="744"/>
      <c r="M24" s="96"/>
      <c r="N24" s="151"/>
    </row>
    <row r="25" spans="1:14" ht="13.5" customHeight="1" thickTop="1">
      <c r="A25" s="328" t="s">
        <v>105</v>
      </c>
      <c r="B25" s="96"/>
      <c r="C25" s="96" t="s">
        <v>1044</v>
      </c>
      <c r="D25" s="96"/>
      <c r="E25" s="96"/>
      <c r="F25" s="96"/>
      <c r="G25" s="96"/>
      <c r="H25" s="96"/>
      <c r="I25" s="1113"/>
      <c r="J25" s="96"/>
      <c r="K25" s="96"/>
      <c r="L25" s="744"/>
      <c r="M25" s="96"/>
      <c r="N25" s="151"/>
    </row>
    <row r="26" spans="1:14" ht="13.5" customHeight="1" thickBot="1">
      <c r="A26" s="175"/>
      <c r="B26" s="96"/>
      <c r="C26" s="96" t="s">
        <v>384</v>
      </c>
      <c r="D26" s="96"/>
      <c r="E26" s="96"/>
      <c r="F26" s="96"/>
      <c r="G26" s="96"/>
      <c r="H26" s="1267" t="s">
        <v>274</v>
      </c>
      <c r="I26" s="1207">
        <f>IF(I24-I7&gt;0,I24-I7,0)</f>
        <v>0</v>
      </c>
      <c r="J26" s="96"/>
      <c r="K26" s="96"/>
      <c r="L26" s="744"/>
      <c r="M26" s="96"/>
      <c r="N26" s="151"/>
    </row>
    <row r="27" spans="1:14" ht="7.5" customHeight="1" thickTop="1">
      <c r="A27" s="175"/>
      <c r="B27" s="96"/>
      <c r="C27" s="96"/>
      <c r="D27" s="96"/>
      <c r="E27" s="96"/>
      <c r="F27" s="96"/>
      <c r="G27" s="96"/>
      <c r="H27" s="96"/>
      <c r="I27" s="1278"/>
      <c r="J27" s="96"/>
      <c r="K27" s="96"/>
      <c r="L27" s="744"/>
      <c r="M27" s="96"/>
      <c r="N27" s="151"/>
    </row>
    <row r="28" spans="1:14" ht="13.5" customHeight="1">
      <c r="A28" s="417" t="s">
        <v>106</v>
      </c>
      <c r="B28" s="96"/>
      <c r="C28" s="96" t="s">
        <v>1338</v>
      </c>
      <c r="D28" s="96"/>
      <c r="E28" s="96"/>
      <c r="F28" s="96"/>
      <c r="G28" s="96"/>
      <c r="H28" s="96"/>
      <c r="I28" s="1278"/>
      <c r="J28" s="96"/>
      <c r="K28" s="96"/>
      <c r="L28" s="744"/>
      <c r="M28" s="96"/>
      <c r="N28" s="151"/>
    </row>
    <row r="29" spans="1:14" ht="12" customHeight="1">
      <c r="A29" s="1267"/>
      <c r="B29" s="96"/>
      <c r="C29" s="96" t="s">
        <v>385</v>
      </c>
      <c r="D29" s="96"/>
      <c r="E29" s="96"/>
      <c r="F29" s="96"/>
      <c r="G29" s="96"/>
      <c r="H29" s="1267" t="s">
        <v>274</v>
      </c>
      <c r="I29" s="743">
        <f>AdjWaysLevy</f>
        <v>0</v>
      </c>
      <c r="J29" s="96"/>
      <c r="K29" s="1267"/>
      <c r="L29" s="740" t="str">
        <f>IF(ISERROR(I29/$I$35),"",I29/$I$35)</f>
        <v/>
      </c>
      <c r="M29" s="96"/>
      <c r="N29" s="151"/>
    </row>
    <row r="30" spans="1:14" ht="13.5" customHeight="1">
      <c r="A30" s="328" t="s">
        <v>107</v>
      </c>
      <c r="B30" s="96"/>
      <c r="C30" s="96" t="s">
        <v>1339</v>
      </c>
      <c r="D30" s="96"/>
      <c r="E30" s="96"/>
      <c r="F30" s="96"/>
      <c r="G30" s="96"/>
      <c r="H30" s="96"/>
      <c r="I30" s="1269"/>
      <c r="J30" s="96"/>
      <c r="K30" s="96"/>
      <c r="L30" s="108"/>
      <c r="M30" s="96"/>
      <c r="N30" s="151"/>
    </row>
    <row r="31" spans="1:14" ht="12" customHeight="1">
      <c r="A31" s="96"/>
      <c r="B31" s="96"/>
      <c r="C31" s="96" t="s">
        <v>1045</v>
      </c>
      <c r="D31" s="96"/>
      <c r="E31" s="96"/>
      <c r="F31" s="96"/>
      <c r="G31" s="96"/>
      <c r="H31" s="1267" t="s">
        <v>274</v>
      </c>
      <c r="I31" s="32"/>
      <c r="J31" s="96"/>
      <c r="K31" s="1267"/>
      <c r="L31" s="740" t="str">
        <f>IF(ISERROR(I31/$I$35),"",I31/$I$35)</f>
        <v/>
      </c>
      <c r="M31" s="96"/>
      <c r="N31" s="151"/>
    </row>
    <row r="32" spans="1:14" ht="5.25" customHeight="1">
      <c r="A32" s="96"/>
      <c r="B32" s="96"/>
      <c r="C32" s="96"/>
      <c r="D32" s="96"/>
      <c r="E32" s="96"/>
      <c r="F32" s="96"/>
      <c r="G32" s="96"/>
      <c r="H32" s="96"/>
      <c r="I32" s="96"/>
      <c r="J32" s="96"/>
      <c r="K32" s="96"/>
      <c r="L32" s="96"/>
      <c r="M32" s="96"/>
      <c r="N32" s="151"/>
    </row>
    <row r="33" spans="1:16" ht="13.5" customHeight="1">
      <c r="A33" s="116" t="s">
        <v>1141</v>
      </c>
      <c r="B33" s="96"/>
      <c r="C33" s="96"/>
      <c r="D33" s="96"/>
      <c r="E33" s="96"/>
      <c r="F33" s="96"/>
      <c r="G33" s="96"/>
      <c r="H33" s="96"/>
      <c r="I33" s="96"/>
      <c r="J33" s="96"/>
      <c r="K33" s="96"/>
      <c r="L33" s="96"/>
      <c r="M33" s="96"/>
      <c r="N33" s="151"/>
    </row>
    <row r="34" spans="1:16" ht="13.5" customHeight="1">
      <c r="A34" s="1267" t="s">
        <v>386</v>
      </c>
      <c r="C34" s="96" t="s">
        <v>387</v>
      </c>
      <c r="D34" s="1283"/>
      <c r="E34" s="96"/>
      <c r="F34" s="96"/>
      <c r="G34" s="96"/>
      <c r="H34" s="1267" t="s">
        <v>274</v>
      </c>
      <c r="I34" s="490">
        <f>I26+I29+I31</f>
        <v>0</v>
      </c>
      <c r="J34" s="745"/>
      <c r="K34" s="96"/>
      <c r="L34" s="96"/>
      <c r="M34" s="96"/>
      <c r="N34" s="151"/>
    </row>
    <row r="35" spans="1:16" ht="13.5" customHeight="1">
      <c r="A35" s="1267" t="s">
        <v>388</v>
      </c>
      <c r="C35" s="96" t="s">
        <v>389</v>
      </c>
      <c r="D35" s="1283"/>
      <c r="E35" s="96"/>
      <c r="F35" s="96"/>
      <c r="G35" s="96"/>
      <c r="H35" s="1267" t="s">
        <v>274</v>
      </c>
      <c r="I35" s="21"/>
      <c r="J35" s="324"/>
      <c r="K35" s="96"/>
      <c r="L35" s="96"/>
      <c r="M35" s="96"/>
      <c r="N35" s="151"/>
    </row>
    <row r="36" spans="1:16" ht="13.5" customHeight="1">
      <c r="A36" s="1267" t="s">
        <v>390</v>
      </c>
      <c r="C36" s="96" t="s">
        <v>391</v>
      </c>
      <c r="D36" s="1283"/>
      <c r="E36" s="96"/>
      <c r="F36" s="96"/>
      <c r="G36" s="96"/>
      <c r="H36" s="1267" t="s">
        <v>274</v>
      </c>
      <c r="I36" s="746" t="str">
        <f>IF(I35&gt;0,ROUND((I7/I35)*10000,4)," ")</f>
        <v xml:space="preserve"> </v>
      </c>
      <c r="J36" s="745" t="s">
        <v>264</v>
      </c>
      <c r="K36" s="96"/>
      <c r="L36" s="96"/>
      <c r="M36" s="96"/>
      <c r="N36" s="151"/>
    </row>
    <row r="37" spans="1:16" ht="13.5" customHeight="1">
      <c r="A37" s="1267" t="s">
        <v>392</v>
      </c>
      <c r="C37" s="96" t="s">
        <v>393</v>
      </c>
      <c r="D37" s="1283"/>
      <c r="E37" s="96"/>
      <c r="F37" s="96"/>
      <c r="G37" s="96"/>
      <c r="H37" s="1267" t="s">
        <v>274</v>
      </c>
      <c r="I37" s="338">
        <f>I7+I26+I29+I31</f>
        <v>0</v>
      </c>
      <c r="J37" s="324"/>
      <c r="K37" s="96"/>
      <c r="L37" s="96"/>
      <c r="M37" s="96"/>
      <c r="N37" s="138"/>
      <c r="O37" s="138"/>
      <c r="P37" s="138"/>
    </row>
    <row r="38" spans="1:16" ht="13.5" customHeight="1">
      <c r="A38" s="1267" t="s">
        <v>394</v>
      </c>
      <c r="C38" s="96" t="s">
        <v>395</v>
      </c>
      <c r="D38" s="1283"/>
      <c r="E38" s="96"/>
      <c r="F38" s="96"/>
      <c r="G38" s="96"/>
      <c r="H38" s="1267" t="s">
        <v>274</v>
      </c>
      <c r="I38" s="746" t="str">
        <f>IF(I35&gt;0,ROUND((I37/I35)*10000,4)," ")</f>
        <v xml:space="preserve"> </v>
      </c>
      <c r="J38" s="745" t="s">
        <v>264</v>
      </c>
      <c r="K38" s="96"/>
      <c r="L38" s="96"/>
      <c r="M38" s="96"/>
      <c r="N38" s="138"/>
      <c r="O38" s="138"/>
      <c r="P38" s="138"/>
    </row>
    <row r="39" spans="1:16" ht="5.25" customHeight="1">
      <c r="A39" s="96"/>
      <c r="B39" s="96"/>
      <c r="C39" s="96"/>
      <c r="D39" s="96"/>
      <c r="E39" s="96"/>
      <c r="F39" s="96"/>
      <c r="G39" s="96"/>
      <c r="H39" s="96"/>
      <c r="I39" s="96"/>
      <c r="J39" s="96"/>
      <c r="K39" s="96"/>
      <c r="L39" s="96"/>
      <c r="M39" s="96"/>
      <c r="N39" s="151"/>
    </row>
    <row r="40" spans="1:16" ht="5.25" customHeight="1">
      <c r="A40" s="96"/>
      <c r="B40" s="96"/>
      <c r="C40" s="96"/>
      <c r="D40" s="96"/>
      <c r="E40" s="96"/>
      <c r="F40" s="96"/>
      <c r="G40" s="96"/>
      <c r="H40" s="96"/>
      <c r="I40" s="96"/>
      <c r="J40" s="96"/>
      <c r="K40" s="96"/>
      <c r="L40" s="96"/>
      <c r="M40" s="96"/>
      <c r="N40" s="151"/>
    </row>
    <row r="41" spans="1:16" ht="15" customHeight="1">
      <c r="A41" s="747" t="s">
        <v>262</v>
      </c>
      <c r="B41" s="119"/>
      <c r="C41" s="1764" t="s">
        <v>1046</v>
      </c>
      <c r="D41" s="1764"/>
      <c r="E41" s="1764"/>
      <c r="F41" s="1764"/>
      <c r="G41" s="1764"/>
      <c r="H41" s="1764"/>
      <c r="I41" s="1764"/>
      <c r="J41" s="1764"/>
      <c r="K41" s="1764"/>
      <c r="L41" s="1764"/>
      <c r="M41" s="1766"/>
      <c r="N41"/>
    </row>
    <row r="42" spans="1:16" ht="9" customHeight="1">
      <c r="A42" s="96"/>
      <c r="B42" s="96"/>
      <c r="C42" s="1764"/>
      <c r="D42" s="1764"/>
      <c r="E42" s="1764"/>
      <c r="F42" s="1764"/>
      <c r="G42" s="1764"/>
      <c r="H42" s="1764"/>
      <c r="I42" s="1764"/>
      <c r="J42" s="1764"/>
      <c r="K42" s="1764"/>
      <c r="L42" s="1764"/>
      <c r="M42" s="1766"/>
      <c r="N42"/>
    </row>
    <row r="43" spans="1:16" ht="5.25" customHeight="1">
      <c r="A43" s="96"/>
      <c r="B43" s="96"/>
      <c r="C43" s="96"/>
      <c r="D43" s="96"/>
      <c r="E43" s="96"/>
      <c r="F43" s="96"/>
      <c r="G43" s="96"/>
      <c r="H43" s="96"/>
      <c r="I43" s="96"/>
      <c r="J43" s="96"/>
      <c r="K43" s="96"/>
      <c r="L43" s="96"/>
      <c r="M43" s="96"/>
    </row>
    <row r="44" spans="1:16" ht="14.25" customHeight="1">
      <c r="A44" s="747" t="s">
        <v>264</v>
      </c>
      <c r="B44" s="119"/>
      <c r="C44" s="1764" t="s">
        <v>1142</v>
      </c>
      <c r="D44" s="1765"/>
      <c r="E44" s="1765"/>
      <c r="F44" s="1765"/>
      <c r="G44" s="1765"/>
      <c r="H44" s="1765"/>
      <c r="I44" s="1765"/>
      <c r="J44" s="1765"/>
      <c r="K44" s="1765"/>
      <c r="L44" s="1765"/>
      <c r="M44" s="1765"/>
    </row>
    <row r="45" spans="1:16" ht="9.75" customHeight="1">
      <c r="A45" s="96"/>
      <c r="B45" s="96"/>
      <c r="C45" s="1765"/>
      <c r="D45" s="1765"/>
      <c r="E45" s="1765"/>
      <c r="F45" s="1765"/>
      <c r="G45" s="1765"/>
      <c r="H45" s="1765"/>
      <c r="I45" s="1765"/>
      <c r="J45" s="1765"/>
      <c r="K45" s="1765"/>
      <c r="L45" s="1765"/>
      <c r="M45" s="1765"/>
    </row>
    <row r="46" spans="1:16" ht="5.25" customHeight="1">
      <c r="A46" s="96"/>
      <c r="B46" s="96"/>
      <c r="C46" s="96"/>
      <c r="D46" s="96"/>
      <c r="E46" s="96"/>
      <c r="F46" s="96"/>
      <c r="G46" s="96"/>
      <c r="H46" s="96"/>
      <c r="I46" s="96"/>
      <c r="J46" s="96"/>
      <c r="K46" s="96"/>
      <c r="L46" s="96"/>
      <c r="M46" s="96"/>
      <c r="N46" s="151"/>
    </row>
    <row r="47" spans="1:16" ht="15" customHeight="1">
      <c r="A47" s="747"/>
      <c r="B47" s="119"/>
      <c r="C47" s="1764"/>
      <c r="D47" s="1764"/>
      <c r="E47" s="1764"/>
      <c r="F47" s="1764"/>
      <c r="G47" s="1764"/>
      <c r="H47" s="1764"/>
      <c r="I47" s="1764"/>
      <c r="J47" s="1764"/>
      <c r="K47" s="1764"/>
      <c r="L47" s="1764"/>
      <c r="M47" s="1766"/>
      <c r="N47"/>
    </row>
    <row r="48" spans="1:16" ht="9" customHeight="1">
      <c r="A48" s="96"/>
      <c r="B48" s="96"/>
      <c r="C48" s="1764"/>
      <c r="D48" s="1764"/>
      <c r="E48" s="1764"/>
      <c r="F48" s="1764"/>
      <c r="G48" s="1764"/>
      <c r="H48" s="1764"/>
      <c r="I48" s="1764"/>
      <c r="J48" s="1764"/>
      <c r="K48" s="1764"/>
      <c r="L48" s="1764"/>
      <c r="M48" s="1766"/>
      <c r="N48"/>
    </row>
    <row r="49" spans="1:13" ht="5.25" customHeight="1">
      <c r="A49" s="96"/>
      <c r="B49" s="96"/>
      <c r="C49" s="96"/>
      <c r="D49" s="96"/>
      <c r="E49" s="96"/>
      <c r="F49" s="96"/>
      <c r="G49" s="96"/>
      <c r="H49" s="96"/>
      <c r="I49" s="96"/>
      <c r="J49" s="96"/>
      <c r="K49" s="96"/>
      <c r="L49" s="96"/>
      <c r="M49" s="96"/>
    </row>
    <row r="50" spans="1:13" ht="14.25" customHeight="1">
      <c r="A50" s="747"/>
      <c r="B50" s="119"/>
      <c r="C50" s="1764"/>
      <c r="D50" s="1765"/>
      <c r="E50" s="1765"/>
      <c r="F50" s="1765"/>
      <c r="G50" s="1765"/>
      <c r="H50" s="1765"/>
      <c r="I50" s="1765"/>
      <c r="J50" s="1765"/>
      <c r="K50" s="1765"/>
      <c r="L50" s="1765"/>
      <c r="M50" s="1765"/>
    </row>
    <row r="51" spans="1:13" ht="9.75" customHeight="1">
      <c r="A51" s="96"/>
      <c r="B51" s="96"/>
      <c r="C51" s="1765"/>
      <c r="D51" s="1765"/>
      <c r="E51" s="1765"/>
      <c r="F51" s="1765"/>
      <c r="G51" s="1765"/>
      <c r="H51" s="1765"/>
      <c r="I51" s="1765"/>
      <c r="J51" s="1765"/>
      <c r="K51" s="1765"/>
      <c r="L51" s="1765"/>
      <c r="M51" s="1765"/>
    </row>
    <row r="52" spans="1:13">
      <c r="A52" s="138"/>
      <c r="B52" s="138"/>
      <c r="C52" s="138"/>
      <c r="D52" s="138"/>
      <c r="E52" s="138"/>
      <c r="F52" s="138"/>
      <c r="G52" s="138"/>
      <c r="H52" s="138"/>
      <c r="I52" s="138"/>
      <c r="J52" s="138"/>
      <c r="K52" s="138"/>
      <c r="L52" s="138"/>
      <c r="M52" s="138"/>
    </row>
    <row r="53" spans="1:13">
      <c r="A53" s="138"/>
      <c r="B53" s="138"/>
      <c r="C53" s="138"/>
      <c r="D53" s="138"/>
      <c r="E53" s="138"/>
      <c r="F53" s="138"/>
      <c r="G53" s="138"/>
      <c r="H53" s="138"/>
      <c r="I53" s="138"/>
      <c r="J53" s="138"/>
      <c r="K53" s="138"/>
      <c r="L53" s="138"/>
      <c r="M53" s="138"/>
    </row>
  </sheetData>
  <sheetProtection sheet="1" formatCells="0" formatColumns="0" formatRows="0"/>
  <mergeCells count="17">
    <mergeCell ref="A2:D2"/>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C00-000000000000}"/>
    <dataValidation allowBlank="1" showInputMessage="1" showErrorMessage="1" promptTitle="Desegregation" prompt="Beginning in FY 2019, Desegregation is levied as a secondary tax." sqref="I11" xr:uid="{00000000-0002-0000-0C00-000001000000}"/>
  </dataValidations>
  <hyperlinks>
    <hyperlink ref="A13" r:id="rId1" display="'6." xr:uid="{00000000-0004-0000-0C00-000000000000}"/>
    <hyperlink ref="A14" r:id="rId2" display="'7." xr:uid="{00000000-0004-0000-0C00-000001000000}"/>
    <hyperlink ref="A18" r:id="rId3" display="10." xr:uid="{00000000-0004-0000-0C00-000002000000}"/>
    <hyperlink ref="A6" location="TruthinTaxl2" display="2." xr:uid="{00000000-0004-0000-0C00-000003000000}"/>
    <hyperlink ref="C17" location="TruthinTaxl8a" display="a." xr:uid="{00000000-0004-0000-0C00-000004000000}"/>
    <hyperlink ref="F6:G8" location="TruthinTaxl2" display="TruthinTaxl2" xr:uid="{00000000-0004-0000-0C00-000005000000}"/>
    <hyperlink ref="A5" r:id="rId4" xr:uid="{00000000-0004-0000-0C00-000006000000}"/>
    <hyperlink ref="A28" location="TNTWSl12" display="'12." xr:uid="{00000000-0004-0000-0C00-000007000000}"/>
    <hyperlink ref="A2" location="TruthinTax" display="Instructions" xr:uid="{00000000-0004-0000-0C00-000008000000}"/>
  </hyperlinks>
  <printOptions horizontalCentered="1"/>
  <pageMargins left="0.25" right="0.25" top="0.25" bottom="0.25" header="0" footer="0.15"/>
  <pageSetup paperSize="5" scale="97" orientation="portrait" r:id="rId5"/>
  <headerFooter alignWithMargins="0">
    <oddFooter>&amp;L&amp;"Times New Roman,Bold"&amp;9Rev. 5/26&amp;K000000 Arizona Department of Education and Auditor General&amp;C&amp;"Times New Roman,Regular"&amp;9&amp;D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codeName="Sheet15">
    <pageSetUpPr fitToPage="1"/>
  </sheetPr>
  <dimension ref="A1:BJ40"/>
  <sheetViews>
    <sheetView showGridLines="0" topLeftCell="C4" workbookViewId="0">
      <selection activeCell="K16" sqref="K16"/>
    </sheetView>
  </sheetViews>
  <sheetFormatPr defaultColWidth="9.1796875" defaultRowHeight="13.2"/>
  <cols>
    <col min="1" max="1" width="2" style="1220" customWidth="1"/>
    <col min="2" max="2" width="65" style="1220" customWidth="1"/>
    <col min="3" max="3" width="15" style="1220" customWidth="1"/>
    <col min="4" max="4" width="16.81640625" style="1220" customWidth="1"/>
    <col min="5" max="5" width="17.54296875" style="1220" customWidth="1"/>
    <col min="6" max="6" width="20" style="1220" customWidth="1"/>
    <col min="7" max="7" width="16.453125" style="1220" customWidth="1"/>
    <col min="8" max="8" width="13" style="1220" customWidth="1"/>
    <col min="9" max="9" width="12" style="1220" customWidth="1"/>
    <col min="10" max="10" width="13.81640625" style="1220" customWidth="1"/>
    <col min="11" max="11" width="14" style="1220" customWidth="1"/>
    <col min="12" max="12" width="18.81640625" style="1220" customWidth="1"/>
    <col min="13" max="13" width="13.453125" style="1220" customWidth="1"/>
    <col min="14" max="14" width="13" style="1220" customWidth="1"/>
    <col min="15" max="15" width="11.1796875" style="1220" customWidth="1"/>
    <col min="16" max="16" width="10.81640625" style="1220" customWidth="1"/>
    <col min="17" max="17" width="11.54296875" style="1220" customWidth="1"/>
    <col min="18" max="20" width="9.1796875" style="1220" customWidth="1"/>
    <col min="21" max="16384" width="9.1796875" style="1220"/>
  </cols>
  <sheetData>
    <row r="1" spans="1:62" s="1213" customFormat="1" ht="11.25" customHeight="1">
      <c r="B1" s="1214" t="s">
        <v>56</v>
      </c>
      <c r="C1" s="1775" t="str">
        <f>DistrictName</f>
        <v>Stanfield Elementary School District</v>
      </c>
      <c r="D1" s="1775"/>
      <c r="E1" s="1374" t="s">
        <v>57</v>
      </c>
      <c r="F1" s="1776" t="str">
        <f>Cover!S1</f>
        <v>110424000</v>
      </c>
      <c r="G1" s="1776"/>
      <c r="L1" s="1215"/>
      <c r="M1" s="1216"/>
      <c r="N1" s="1216"/>
      <c r="O1" s="1216"/>
      <c r="P1" s="1216"/>
      <c r="Q1" s="1216"/>
      <c r="R1" s="1216"/>
      <c r="S1" s="1216"/>
      <c r="T1" s="1216"/>
      <c r="U1" s="1216"/>
      <c r="V1" s="1216"/>
      <c r="W1" s="1216"/>
      <c r="X1" s="1216"/>
      <c r="Y1" s="1216"/>
      <c r="Z1" s="1216"/>
      <c r="AA1" s="1216"/>
      <c r="AB1" s="1216"/>
      <c r="AC1" s="1216"/>
      <c r="AD1" s="1216"/>
      <c r="AE1" s="1216"/>
      <c r="AF1" s="1216"/>
      <c r="AG1" s="1216"/>
      <c r="AH1" s="1216"/>
      <c r="AI1" s="1216"/>
      <c r="AJ1" s="1216"/>
      <c r="AK1" s="1216"/>
      <c r="AL1" s="1216"/>
      <c r="AM1" s="1216"/>
      <c r="AN1" s="1216"/>
      <c r="AO1" s="1216"/>
      <c r="AP1" s="1216"/>
      <c r="AQ1" s="1216"/>
      <c r="AR1" s="1216"/>
      <c r="AS1" s="1216"/>
      <c r="AT1" s="1216"/>
      <c r="AU1" s="1216"/>
      <c r="AV1" s="1216"/>
      <c r="AW1" s="1216"/>
      <c r="AX1" s="1216"/>
      <c r="AY1" s="1216"/>
      <c r="AZ1" s="1216"/>
      <c r="BA1" s="1216"/>
      <c r="BB1" s="1216"/>
      <c r="BC1" s="1216"/>
      <c r="BD1" s="1216"/>
      <c r="BE1" s="1216"/>
      <c r="BF1" s="1216"/>
      <c r="BG1" s="1216"/>
      <c r="BH1" s="1216"/>
      <c r="BI1" s="1216"/>
      <c r="BJ1" s="1216"/>
    </row>
    <row r="2" spans="1:62" s="1213" customFormat="1" ht="11.25" customHeight="1">
      <c r="C2" s="1217"/>
      <c r="D2" s="1217"/>
      <c r="E2" s="1217"/>
      <c r="F2" s="1218"/>
      <c r="G2" s="1219"/>
      <c r="L2" s="1215"/>
      <c r="M2" s="1216"/>
      <c r="N2" s="1216"/>
      <c r="O2" s="1216"/>
      <c r="P2" s="1216"/>
      <c r="Q2" s="1216"/>
      <c r="R2" s="1216"/>
      <c r="S2" s="1216"/>
      <c r="T2" s="1216"/>
      <c r="U2" s="1216"/>
      <c r="V2" s="1216"/>
      <c r="W2" s="1216"/>
      <c r="X2" s="1216"/>
      <c r="Y2" s="1216"/>
      <c r="Z2" s="1216"/>
      <c r="AA2" s="1216"/>
      <c r="AB2" s="1216"/>
      <c r="AC2" s="1216"/>
      <c r="AD2" s="1216"/>
      <c r="AE2" s="1216"/>
      <c r="AF2" s="1216"/>
      <c r="AG2" s="1216"/>
      <c r="AH2" s="1216"/>
      <c r="AI2" s="1216"/>
      <c r="AJ2" s="1216"/>
      <c r="AK2" s="1216"/>
      <c r="AL2" s="1216"/>
      <c r="AM2" s="1216"/>
      <c r="AN2" s="1216"/>
      <c r="AO2" s="1216"/>
      <c r="AP2" s="1216"/>
      <c r="AQ2" s="1216"/>
      <c r="AR2" s="1216"/>
      <c r="AS2" s="1216"/>
      <c r="AT2" s="1216"/>
      <c r="AU2" s="1216"/>
      <c r="AV2" s="1216"/>
      <c r="AW2" s="1216"/>
      <c r="AX2" s="1216"/>
      <c r="AY2" s="1216"/>
      <c r="AZ2" s="1216"/>
      <c r="BA2" s="1216"/>
      <c r="BB2" s="1216"/>
      <c r="BC2" s="1216"/>
      <c r="BD2" s="1216"/>
      <c r="BE2" s="1216"/>
      <c r="BF2" s="1216"/>
      <c r="BG2" s="1216"/>
      <c r="BH2" s="1216"/>
      <c r="BI2" s="1216"/>
      <c r="BJ2" s="1216"/>
    </row>
    <row r="3" spans="1:62" s="1213" customFormat="1" ht="16.5" customHeight="1">
      <c r="A3" s="1777" t="s">
        <v>1321</v>
      </c>
      <c r="B3" s="1777"/>
      <c r="C3" s="1777"/>
      <c r="D3" s="1777"/>
      <c r="E3" s="1777"/>
      <c r="F3" s="1777"/>
      <c r="G3" s="1777"/>
      <c r="H3" s="1777"/>
      <c r="I3" s="1777"/>
      <c r="L3" s="1215"/>
      <c r="M3" s="1216"/>
      <c r="N3" s="1216"/>
      <c r="O3" s="1216"/>
      <c r="P3" s="1216"/>
      <c r="Q3" s="1216"/>
      <c r="R3" s="1216"/>
      <c r="S3" s="1216"/>
      <c r="T3" s="1216"/>
      <c r="U3" s="1216"/>
      <c r="V3" s="1216"/>
      <c r="W3" s="1216"/>
      <c r="X3" s="1216"/>
      <c r="Y3" s="1216"/>
      <c r="Z3" s="1216"/>
      <c r="AA3" s="1216"/>
      <c r="AB3" s="1216"/>
      <c r="AC3" s="1216"/>
      <c r="AD3" s="1216"/>
      <c r="AE3" s="1216"/>
      <c r="AF3" s="1216"/>
      <c r="AG3" s="1216"/>
      <c r="AH3" s="1216"/>
      <c r="AI3" s="1216"/>
      <c r="AJ3" s="1216"/>
      <c r="AK3" s="1216"/>
      <c r="AL3" s="1216"/>
      <c r="AM3" s="1216"/>
      <c r="AN3" s="1216"/>
      <c r="AO3" s="1216"/>
      <c r="AP3" s="1216"/>
      <c r="AQ3" s="1216"/>
      <c r="AR3" s="1216"/>
      <c r="AS3" s="1216"/>
      <c r="AT3" s="1216"/>
      <c r="AU3" s="1216"/>
      <c r="AV3" s="1216"/>
      <c r="AW3" s="1216"/>
      <c r="AX3" s="1216"/>
      <c r="AY3" s="1216"/>
      <c r="AZ3" s="1216"/>
      <c r="BA3" s="1216"/>
      <c r="BB3" s="1216"/>
      <c r="BC3" s="1216"/>
      <c r="BD3" s="1216"/>
      <c r="BE3" s="1216"/>
      <c r="BF3" s="1216"/>
      <c r="BG3" s="1216"/>
      <c r="BH3" s="1216"/>
      <c r="BI3" s="1216"/>
      <c r="BJ3" s="1216"/>
    </row>
    <row r="4" spans="1:62" s="1213" customFormat="1" ht="11.25" customHeight="1">
      <c r="A4" s="1777"/>
      <c r="B4" s="1777"/>
      <c r="C4" s="1777"/>
      <c r="D4" s="1777"/>
      <c r="E4" s="1777"/>
      <c r="F4" s="1777"/>
      <c r="G4" s="1777"/>
      <c r="H4" s="1777"/>
      <c r="I4" s="1777"/>
      <c r="J4" s="1220"/>
      <c r="K4" s="1220"/>
      <c r="L4" s="1220"/>
      <c r="M4" s="1216"/>
      <c r="N4" s="1216"/>
      <c r="O4" s="1216"/>
      <c r="P4" s="1216"/>
      <c r="Q4" s="1216"/>
      <c r="R4" s="1216"/>
      <c r="S4" s="1216"/>
      <c r="T4" s="1216"/>
      <c r="U4" s="1216"/>
      <c r="V4" s="1216"/>
      <c r="W4" s="1216"/>
      <c r="X4" s="1216"/>
      <c r="Y4" s="1216"/>
      <c r="Z4" s="1216"/>
      <c r="AA4" s="1216"/>
      <c r="AB4" s="1216"/>
      <c r="AC4" s="1216"/>
      <c r="AD4" s="1216"/>
      <c r="AE4" s="1216"/>
      <c r="AF4" s="1216"/>
      <c r="AG4" s="1216"/>
      <c r="AH4" s="1216"/>
      <c r="AI4" s="1216"/>
      <c r="AJ4" s="1216"/>
      <c r="AK4" s="1216"/>
      <c r="AL4" s="1216"/>
      <c r="AM4" s="1216"/>
      <c r="AN4" s="1216"/>
      <c r="AO4" s="1216"/>
      <c r="AP4" s="1216"/>
      <c r="AQ4" s="1216"/>
      <c r="AR4" s="1216"/>
      <c r="AS4" s="1216"/>
      <c r="AT4" s="1216"/>
      <c r="AU4" s="1216"/>
      <c r="AV4" s="1216"/>
      <c r="AW4" s="1216"/>
      <c r="AX4" s="1216"/>
      <c r="AY4" s="1216"/>
      <c r="AZ4" s="1216"/>
      <c r="BA4" s="1216"/>
      <c r="BB4" s="1216"/>
      <c r="BC4" s="1216"/>
      <c r="BD4" s="1216"/>
      <c r="BE4" s="1216"/>
      <c r="BF4" s="1216"/>
      <c r="BG4" s="1216"/>
      <c r="BH4" s="1216"/>
      <c r="BI4" s="1216"/>
      <c r="BJ4" s="1216"/>
    </row>
    <row r="5" spans="1:62" s="1213" customFormat="1" ht="11.25" customHeight="1">
      <c r="A5" s="1777"/>
      <c r="B5" s="1777"/>
      <c r="C5" s="1777"/>
      <c r="D5" s="1777"/>
      <c r="E5" s="1777"/>
      <c r="F5" s="1777"/>
      <c r="G5" s="1777"/>
      <c r="H5" s="1777"/>
      <c r="I5" s="1777"/>
      <c r="J5" s="1220"/>
      <c r="K5" s="1220"/>
      <c r="L5" s="1220"/>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c r="AO5" s="1216"/>
      <c r="AP5" s="1216"/>
      <c r="AQ5" s="1216"/>
      <c r="AR5" s="1216"/>
      <c r="AS5" s="1216"/>
      <c r="AT5" s="1216"/>
      <c r="AU5" s="1216"/>
      <c r="AV5" s="1216"/>
      <c r="AW5" s="1216"/>
      <c r="AX5" s="1216"/>
      <c r="AY5" s="1216"/>
      <c r="AZ5" s="1216"/>
      <c r="BA5" s="1216"/>
      <c r="BB5" s="1216"/>
      <c r="BC5" s="1216"/>
      <c r="BD5" s="1216"/>
      <c r="BE5" s="1216"/>
      <c r="BF5" s="1216"/>
      <c r="BG5" s="1216"/>
      <c r="BH5" s="1216"/>
      <c r="BI5" s="1216"/>
      <c r="BJ5" s="1216"/>
    </row>
    <row r="6" spans="1:62" ht="15" customHeight="1">
      <c r="A6" s="1778" t="s">
        <v>692</v>
      </c>
      <c r="B6" s="1779"/>
      <c r="C6" s="1780" t="s">
        <v>396</v>
      </c>
      <c r="D6" s="1781"/>
      <c r="E6" s="1781"/>
      <c r="F6" s="1781"/>
      <c r="G6" s="1781"/>
      <c r="H6" s="1781"/>
      <c r="I6" s="1781"/>
      <c r="J6" s="1781"/>
      <c r="K6" s="1781"/>
      <c r="L6" s="1781"/>
      <c r="M6" s="1781"/>
      <c r="N6" s="1781"/>
      <c r="O6" s="1781"/>
      <c r="P6" s="1781"/>
      <c r="Q6" s="1782"/>
    </row>
    <row r="7" spans="1:62" ht="28.5" customHeight="1">
      <c r="B7" s="1221"/>
      <c r="C7" s="1794" t="s">
        <v>397</v>
      </c>
      <c r="D7" s="1795"/>
      <c r="E7" s="1796"/>
      <c r="F7" s="1797" t="s">
        <v>1140</v>
      </c>
      <c r="G7" s="1795"/>
      <c r="H7" s="1795"/>
      <c r="I7" s="1796"/>
      <c r="J7" s="1797" t="s">
        <v>1139</v>
      </c>
      <c r="K7" s="1795"/>
      <c r="L7" s="1795"/>
      <c r="M7" s="1783" t="s">
        <v>398</v>
      </c>
      <c r="N7" s="1783" t="s">
        <v>399</v>
      </c>
      <c r="O7" s="1783" t="s">
        <v>400</v>
      </c>
      <c r="P7" s="1798" t="s">
        <v>401</v>
      </c>
      <c r="Q7" s="1783" t="s">
        <v>402</v>
      </c>
    </row>
    <row r="8" spans="1:62" ht="58.5" customHeight="1">
      <c r="A8" s="1784" t="s">
        <v>1322</v>
      </c>
      <c r="B8" s="1784"/>
      <c r="C8" s="1222" t="s">
        <v>403</v>
      </c>
      <c r="D8" s="1222" t="s">
        <v>404</v>
      </c>
      <c r="E8" s="1222" t="s">
        <v>405</v>
      </c>
      <c r="F8" s="1222" t="s">
        <v>406</v>
      </c>
      <c r="G8" s="1223" t="s">
        <v>407</v>
      </c>
      <c r="H8" s="1222" t="s">
        <v>408</v>
      </c>
      <c r="I8" s="1222" t="s">
        <v>409</v>
      </c>
      <c r="J8" s="1222" t="s">
        <v>410</v>
      </c>
      <c r="K8" s="1222" t="s">
        <v>411</v>
      </c>
      <c r="L8" s="1222" t="s">
        <v>412</v>
      </c>
      <c r="M8" s="1783"/>
      <c r="N8" s="1783"/>
      <c r="O8" s="1783"/>
      <c r="P8" s="1799"/>
      <c r="Q8" s="1783"/>
      <c r="W8" s="1224" t="s">
        <v>413</v>
      </c>
    </row>
    <row r="9" spans="1:62" ht="7.5" customHeight="1">
      <c r="A9" s="1225"/>
      <c r="B9" s="1225"/>
      <c r="C9" s="1226"/>
      <c r="D9" s="1226"/>
      <c r="E9" s="1226"/>
      <c r="F9" s="1226"/>
      <c r="G9" s="1227"/>
      <c r="H9" s="1227"/>
      <c r="I9" s="1227"/>
      <c r="J9" s="1227"/>
      <c r="K9" s="1227"/>
      <c r="L9" s="1227"/>
      <c r="M9" s="1228"/>
      <c r="N9" s="1228"/>
      <c r="O9" s="1228"/>
      <c r="P9" s="1228"/>
      <c r="Q9" s="1228"/>
      <c r="W9" s="1224"/>
    </row>
    <row r="10" spans="1:62" ht="15" customHeight="1">
      <c r="A10" s="1229" t="s">
        <v>6</v>
      </c>
      <c r="B10" s="1446" t="s">
        <v>1323</v>
      </c>
      <c r="C10" s="1231">
        <f>+'Page 7'!J35</f>
        <v>519002</v>
      </c>
      <c r="D10" s="1231">
        <v>0</v>
      </c>
      <c r="E10" s="1231">
        <v>0</v>
      </c>
      <c r="F10" s="1231">
        <f>+'Page 8'!K18+'Page 8'!K19</f>
        <v>170227</v>
      </c>
      <c r="G10" s="1231">
        <v>0</v>
      </c>
      <c r="H10" s="1231">
        <v>0</v>
      </c>
      <c r="I10" s="1231">
        <v>23608</v>
      </c>
      <c r="J10" s="1231">
        <f>+CSFUnexpendBudgBal+CSFPYInterestEarned</f>
        <v>2261630</v>
      </c>
      <c r="K10" s="1231">
        <v>2019084</v>
      </c>
      <c r="L10" s="1231">
        <v>906878</v>
      </c>
      <c r="M10" s="1231">
        <v>0</v>
      </c>
      <c r="N10" s="1231">
        <v>0</v>
      </c>
      <c r="O10" s="1231">
        <v>0</v>
      </c>
      <c r="P10" s="1231">
        <v>0</v>
      </c>
      <c r="Q10" s="1232">
        <f>SUM(C10:P10)</f>
        <v>5900429</v>
      </c>
      <c r="W10" s="1224" t="s">
        <v>414</v>
      </c>
    </row>
    <row r="11" spans="1:62" ht="15" customHeight="1">
      <c r="A11" s="1233"/>
      <c r="B11" s="1230" t="s">
        <v>1324</v>
      </c>
      <c r="C11" s="1234"/>
      <c r="D11" s="1234"/>
      <c r="E11" s="1234"/>
      <c r="F11" s="1234"/>
      <c r="W11" s="1224"/>
    </row>
    <row r="12" spans="1:62" ht="7.5" customHeight="1">
      <c r="A12" s="1235"/>
      <c r="B12" s="1230"/>
      <c r="C12" s="1227"/>
      <c r="D12" s="1227"/>
      <c r="E12" s="1227"/>
      <c r="F12" s="1227"/>
      <c r="W12" s="1224"/>
    </row>
    <row r="13" spans="1:62" ht="15" customHeight="1">
      <c r="A13" s="1236" t="s">
        <v>8</v>
      </c>
      <c r="B13" s="1237" t="s">
        <v>1325</v>
      </c>
      <c r="C13" s="1238"/>
      <c r="D13" s="1238"/>
      <c r="E13" s="1238"/>
      <c r="F13" s="1239"/>
      <c r="W13" s="1224"/>
    </row>
    <row r="14" spans="1:62" ht="15" customHeight="1">
      <c r="A14" s="1235"/>
      <c r="B14" s="1446" t="s">
        <v>1326</v>
      </c>
      <c r="C14" s="1231">
        <v>3892000</v>
      </c>
      <c r="D14" s="1231">
        <v>0</v>
      </c>
      <c r="E14" s="1231">
        <v>0</v>
      </c>
      <c r="F14" s="1231">
        <f>+TotAmtCapExped</f>
        <v>255494</v>
      </c>
      <c r="G14" s="1231">
        <v>0</v>
      </c>
      <c r="H14" s="1231">
        <v>0</v>
      </c>
      <c r="I14" s="1231">
        <v>10000</v>
      </c>
      <c r="J14" s="1231">
        <f>+'Page 3'!CSFAllocBudgFY</f>
        <v>393321</v>
      </c>
      <c r="K14" s="1231">
        <v>775000</v>
      </c>
      <c r="L14" s="1231">
        <v>460000</v>
      </c>
      <c r="M14" s="1231">
        <v>0</v>
      </c>
      <c r="N14" s="1231">
        <v>0</v>
      </c>
      <c r="O14" s="1231">
        <v>0</v>
      </c>
      <c r="P14" s="1231">
        <v>0</v>
      </c>
      <c r="Q14" s="1232">
        <f>SUM(C14:P14)</f>
        <v>5785815</v>
      </c>
      <c r="W14" s="1224"/>
    </row>
    <row r="15" spans="1:62" ht="15" customHeight="1">
      <c r="A15" s="1235"/>
      <c r="B15" s="1446" t="s">
        <v>1391</v>
      </c>
      <c r="C15" s="1231">
        <f>+F001TotalExp</f>
        <v>4020394</v>
      </c>
      <c r="D15" s="1231">
        <v>0</v>
      </c>
      <c r="E15" s="1231">
        <v>0</v>
      </c>
      <c r="F15" s="1231">
        <v>360000</v>
      </c>
      <c r="G15" s="1231">
        <v>0</v>
      </c>
      <c r="H15" s="1231">
        <v>0</v>
      </c>
      <c r="I15" s="1231">
        <v>10000</v>
      </c>
      <c r="J15" s="1231">
        <v>500000</v>
      </c>
      <c r="K15" s="1231">
        <v>450000</v>
      </c>
      <c r="L15" s="1231">
        <v>470000</v>
      </c>
      <c r="M15" s="1231">
        <v>0</v>
      </c>
      <c r="N15" s="1231">
        <v>0</v>
      </c>
      <c r="O15" s="1231">
        <v>0</v>
      </c>
      <c r="P15" s="1231">
        <v>0</v>
      </c>
      <c r="Q15" s="1232">
        <f t="shared" ref="Q15:Q17" si="0">SUM(C15:P15)</f>
        <v>5810394</v>
      </c>
      <c r="W15" s="1224"/>
    </row>
    <row r="16" spans="1:62" ht="15" customHeight="1">
      <c r="A16" s="1235"/>
      <c r="B16" s="1230"/>
      <c r="C16" s="1240"/>
      <c r="D16" s="1240"/>
      <c r="E16" s="1240"/>
      <c r="F16" s="1240"/>
      <c r="G16" s="1240"/>
      <c r="H16" s="1240"/>
      <c r="I16" s="1240"/>
      <c r="J16" s="1240"/>
      <c r="K16" s="1240"/>
      <c r="L16" s="1240"/>
      <c r="M16" s="1240"/>
      <c r="N16" s="1240"/>
      <c r="O16" s="1240"/>
      <c r="P16" s="1240"/>
      <c r="Q16" s="1240"/>
      <c r="W16" s="1224"/>
    </row>
    <row r="17" spans="1:23" ht="15" customHeight="1">
      <c r="A17" s="1236" t="s">
        <v>22</v>
      </c>
      <c r="B17" s="1237" t="s">
        <v>1327</v>
      </c>
      <c r="C17" s="1241">
        <f t="shared" ref="C17:P17" si="1">C10+C14-C15</f>
        <v>390608</v>
      </c>
      <c r="D17" s="1241">
        <f t="shared" si="1"/>
        <v>0</v>
      </c>
      <c r="E17" s="1241">
        <f t="shared" si="1"/>
        <v>0</v>
      </c>
      <c r="F17" s="1241">
        <f t="shared" si="1"/>
        <v>65721</v>
      </c>
      <c r="G17" s="1241">
        <f t="shared" si="1"/>
        <v>0</v>
      </c>
      <c r="H17" s="1241">
        <f t="shared" si="1"/>
        <v>0</v>
      </c>
      <c r="I17" s="1241">
        <f t="shared" si="1"/>
        <v>23608</v>
      </c>
      <c r="J17" s="1241">
        <f t="shared" si="1"/>
        <v>2154951</v>
      </c>
      <c r="K17" s="1241">
        <f t="shared" si="1"/>
        <v>2344084</v>
      </c>
      <c r="L17" s="1241">
        <f t="shared" si="1"/>
        <v>896878</v>
      </c>
      <c r="M17" s="1241">
        <f t="shared" si="1"/>
        <v>0</v>
      </c>
      <c r="N17" s="1241">
        <f t="shared" si="1"/>
        <v>0</v>
      </c>
      <c r="O17" s="1241">
        <f t="shared" si="1"/>
        <v>0</v>
      </c>
      <c r="P17" s="1241">
        <f t="shared" si="1"/>
        <v>0</v>
      </c>
      <c r="Q17" s="1232">
        <f t="shared" si="0"/>
        <v>5875850</v>
      </c>
      <c r="W17" s="1224"/>
    </row>
    <row r="18" spans="1:23" ht="15" customHeight="1">
      <c r="A18" s="1242"/>
      <c r="B18" s="1446" t="s">
        <v>415</v>
      </c>
      <c r="C18" s="1231">
        <v>0</v>
      </c>
      <c r="D18" s="1231">
        <v>0</v>
      </c>
      <c r="E18" s="1231">
        <v>0</v>
      </c>
      <c r="F18" s="1231">
        <v>0</v>
      </c>
      <c r="G18" s="1231">
        <v>0</v>
      </c>
      <c r="H18" s="1231">
        <v>0</v>
      </c>
      <c r="I18" s="1231">
        <v>0</v>
      </c>
      <c r="J18" s="1231">
        <v>0</v>
      </c>
      <c r="K18" s="1231">
        <v>0</v>
      </c>
      <c r="L18" s="1231">
        <v>0</v>
      </c>
      <c r="M18" s="1231">
        <v>0</v>
      </c>
      <c r="N18" s="1231">
        <v>0</v>
      </c>
      <c r="O18" s="1231">
        <v>0</v>
      </c>
      <c r="P18" s="1231">
        <v>0</v>
      </c>
      <c r="Q18" s="1232">
        <f>SUM(C18:P18)</f>
        <v>0</v>
      </c>
      <c r="W18" s="1224"/>
    </row>
    <row r="19" spans="1:23" ht="15" customHeight="1">
      <c r="A19" s="1242"/>
      <c r="B19" s="1446" t="s">
        <v>416</v>
      </c>
      <c r="C19" s="1231">
        <v>0</v>
      </c>
      <c r="D19" s="1231">
        <v>0</v>
      </c>
      <c r="E19" s="1231">
        <v>0</v>
      </c>
      <c r="F19" s="1231">
        <v>0</v>
      </c>
      <c r="G19" s="1231">
        <v>0</v>
      </c>
      <c r="H19" s="1231">
        <v>0</v>
      </c>
      <c r="I19" s="1231">
        <v>0</v>
      </c>
      <c r="J19" s="1231">
        <v>0</v>
      </c>
      <c r="K19" s="1231">
        <v>0</v>
      </c>
      <c r="L19" s="1231">
        <v>0</v>
      </c>
      <c r="M19" s="1231">
        <v>0</v>
      </c>
      <c r="N19" s="1231">
        <v>0</v>
      </c>
      <c r="O19" s="1231">
        <v>0</v>
      </c>
      <c r="P19" s="1231">
        <v>0</v>
      </c>
      <c r="Q19" s="1232">
        <f t="shared" ref="Q19:Q22" si="2">SUM(C19:P19)</f>
        <v>0</v>
      </c>
      <c r="W19" s="1224"/>
    </row>
    <row r="20" spans="1:23" ht="15" customHeight="1">
      <c r="A20" s="1237"/>
      <c r="B20" s="1446" t="s">
        <v>417</v>
      </c>
      <c r="C20" s="1231">
        <v>0</v>
      </c>
      <c r="D20" s="1231">
        <v>0</v>
      </c>
      <c r="E20" s="1231">
        <v>0</v>
      </c>
      <c r="F20" s="1231">
        <v>0</v>
      </c>
      <c r="G20" s="1231">
        <v>0</v>
      </c>
      <c r="H20" s="1231">
        <v>0</v>
      </c>
      <c r="I20" s="1231">
        <v>0</v>
      </c>
      <c r="J20" s="1231">
        <v>0</v>
      </c>
      <c r="K20" s="1231">
        <v>0</v>
      </c>
      <c r="L20" s="1231">
        <v>0</v>
      </c>
      <c r="M20" s="1231">
        <v>0</v>
      </c>
      <c r="N20" s="1231">
        <v>0</v>
      </c>
      <c r="O20" s="1231">
        <v>0</v>
      </c>
      <c r="P20" s="1231">
        <v>0</v>
      </c>
      <c r="Q20" s="1232">
        <f t="shared" si="2"/>
        <v>0</v>
      </c>
      <c r="W20" s="1224"/>
    </row>
    <row r="21" spans="1:23" ht="15" customHeight="1">
      <c r="A21" s="1237"/>
      <c r="B21" s="1446" t="s">
        <v>418</v>
      </c>
      <c r="C21" s="1231">
        <v>0</v>
      </c>
      <c r="D21" s="1231">
        <v>0</v>
      </c>
      <c r="E21" s="1231">
        <v>0</v>
      </c>
      <c r="F21" s="1231">
        <v>0</v>
      </c>
      <c r="G21" s="1231">
        <v>0</v>
      </c>
      <c r="H21" s="1231">
        <v>0</v>
      </c>
      <c r="I21" s="1231">
        <v>0</v>
      </c>
      <c r="J21" s="1231">
        <v>0</v>
      </c>
      <c r="K21" s="1231">
        <v>0</v>
      </c>
      <c r="L21" s="1231">
        <v>0</v>
      </c>
      <c r="M21" s="1231">
        <v>0</v>
      </c>
      <c r="N21" s="1231">
        <v>0</v>
      </c>
      <c r="O21" s="1231">
        <v>0</v>
      </c>
      <c r="P21" s="1231">
        <v>0</v>
      </c>
      <c r="Q21" s="1232">
        <f t="shared" si="2"/>
        <v>0</v>
      </c>
      <c r="W21" s="1224"/>
    </row>
    <row r="22" spans="1:23" ht="15" customHeight="1">
      <c r="A22" s="1237"/>
      <c r="B22" s="1446" t="s">
        <v>419</v>
      </c>
      <c r="C22" s="1231">
        <f>+C17</f>
        <v>390608</v>
      </c>
      <c r="D22" s="1231">
        <v>0</v>
      </c>
      <c r="E22" s="1231">
        <v>0</v>
      </c>
      <c r="F22" s="1231">
        <f>+F17</f>
        <v>65721</v>
      </c>
      <c r="G22" s="1231">
        <f t="shared" ref="G22:L22" si="3">+G17</f>
        <v>0</v>
      </c>
      <c r="H22" s="1231">
        <f t="shared" si="3"/>
        <v>0</v>
      </c>
      <c r="I22" s="1231">
        <f t="shared" si="3"/>
        <v>23608</v>
      </c>
      <c r="J22" s="1231">
        <f t="shared" si="3"/>
        <v>2154951</v>
      </c>
      <c r="K22" s="1231">
        <f t="shared" si="3"/>
        <v>2344084</v>
      </c>
      <c r="L22" s="1231">
        <f t="shared" si="3"/>
        <v>896878</v>
      </c>
      <c r="M22" s="1231">
        <v>0</v>
      </c>
      <c r="N22" s="1231">
        <v>0</v>
      </c>
      <c r="O22" s="1231">
        <v>0</v>
      </c>
      <c r="P22" s="1231">
        <v>0</v>
      </c>
      <c r="Q22" s="1232">
        <f t="shared" si="2"/>
        <v>5875850</v>
      </c>
      <c r="W22" s="1224"/>
    </row>
    <row r="23" spans="1:23" ht="15" customHeight="1">
      <c r="A23" s="1237"/>
      <c r="B23" s="1230" t="s">
        <v>420</v>
      </c>
      <c r="C23" s="1241">
        <f>SUM(C18:C22)</f>
        <v>390608</v>
      </c>
      <c r="D23" s="1241">
        <f t="shared" ref="D23:Q23" si="4">SUM(D18:D22)</f>
        <v>0</v>
      </c>
      <c r="E23" s="1241">
        <f t="shared" si="4"/>
        <v>0</v>
      </c>
      <c r="F23" s="1241">
        <f t="shared" si="4"/>
        <v>65721</v>
      </c>
      <c r="G23" s="1241">
        <f t="shared" si="4"/>
        <v>0</v>
      </c>
      <c r="H23" s="1241">
        <f t="shared" si="4"/>
        <v>0</v>
      </c>
      <c r="I23" s="1241">
        <f t="shared" si="4"/>
        <v>23608</v>
      </c>
      <c r="J23" s="1241">
        <f t="shared" si="4"/>
        <v>2154951</v>
      </c>
      <c r="K23" s="1241">
        <f t="shared" si="4"/>
        <v>2344084</v>
      </c>
      <c r="L23" s="1241">
        <f t="shared" si="4"/>
        <v>896878</v>
      </c>
      <c r="M23" s="1241">
        <f t="shared" si="4"/>
        <v>0</v>
      </c>
      <c r="N23" s="1241">
        <f t="shared" si="4"/>
        <v>0</v>
      </c>
      <c r="O23" s="1241">
        <f t="shared" si="4"/>
        <v>0</v>
      </c>
      <c r="P23" s="1241">
        <f t="shared" si="4"/>
        <v>0</v>
      </c>
      <c r="Q23" s="1241">
        <f t="shared" si="4"/>
        <v>5875850</v>
      </c>
      <c r="W23" s="1224"/>
    </row>
    <row r="24" spans="1:23" ht="9" customHeight="1">
      <c r="A24" s="1236"/>
      <c r="B24" s="1237"/>
      <c r="C24" s="1238"/>
      <c r="D24" s="1238"/>
      <c r="E24" s="1238"/>
      <c r="F24" s="1239"/>
      <c r="W24" s="1224"/>
    </row>
    <row r="25" spans="1:23" ht="15" customHeight="1">
      <c r="A25" s="1236" t="s">
        <v>40</v>
      </c>
      <c r="B25" s="1237" t="s">
        <v>1328</v>
      </c>
      <c r="C25" s="1238"/>
      <c r="D25" s="1238"/>
      <c r="E25" s="1238"/>
      <c r="F25" s="1239"/>
      <c r="W25" s="1224"/>
    </row>
    <row r="26" spans="1:23" ht="15" customHeight="1">
      <c r="A26" s="1242"/>
      <c r="B26" s="1446" t="s">
        <v>421</v>
      </c>
      <c r="C26" s="1231">
        <v>0</v>
      </c>
      <c r="D26" s="1231">
        <v>0</v>
      </c>
      <c r="E26" s="1231">
        <v>0</v>
      </c>
      <c r="F26" s="1231">
        <v>0</v>
      </c>
      <c r="G26" s="1231">
        <v>0</v>
      </c>
      <c r="H26" s="1231">
        <v>0</v>
      </c>
      <c r="I26" s="1231">
        <v>0</v>
      </c>
      <c r="J26" s="1231">
        <v>0</v>
      </c>
      <c r="K26" s="1231">
        <v>0</v>
      </c>
      <c r="L26" s="1231">
        <v>0</v>
      </c>
      <c r="M26" s="1231">
        <v>0</v>
      </c>
      <c r="N26" s="1231">
        <v>0</v>
      </c>
      <c r="O26" s="1231">
        <v>0</v>
      </c>
      <c r="P26" s="1231">
        <v>0</v>
      </c>
      <c r="Q26" s="1232">
        <f t="shared" ref="Q26:Q29" si="5">SUM(C26:P26)</f>
        <v>0</v>
      </c>
      <c r="W26" s="1224"/>
    </row>
    <row r="27" spans="1:23" ht="15" customHeight="1">
      <c r="A27" s="1242"/>
      <c r="B27" s="1446" t="s">
        <v>422</v>
      </c>
      <c r="C27" s="1231">
        <v>0</v>
      </c>
      <c r="D27" s="1231">
        <v>0</v>
      </c>
      <c r="E27" s="1243"/>
      <c r="F27" s="1231">
        <v>0</v>
      </c>
      <c r="G27" s="1244"/>
      <c r="H27" s="1244"/>
      <c r="I27" s="1244"/>
      <c r="J27" s="1231">
        <v>0</v>
      </c>
      <c r="K27" s="1231">
        <v>0</v>
      </c>
      <c r="L27" s="1244"/>
      <c r="M27" s="1244"/>
      <c r="N27" s="1244"/>
      <c r="O27" s="1244"/>
      <c r="P27" s="1244"/>
      <c r="Q27" s="1232">
        <f t="shared" si="5"/>
        <v>0</v>
      </c>
      <c r="W27" s="1224"/>
    </row>
    <row r="28" spans="1:23" ht="15" customHeight="1">
      <c r="A28" s="1242"/>
      <c r="B28" s="1446" t="s">
        <v>1392</v>
      </c>
      <c r="C28" s="1231">
        <f>+C23</f>
        <v>390608</v>
      </c>
      <c r="D28" s="1231">
        <v>0</v>
      </c>
      <c r="E28" s="1231">
        <v>0</v>
      </c>
      <c r="F28" s="1231">
        <f>+F23</f>
        <v>65721</v>
      </c>
      <c r="G28" s="1231">
        <f t="shared" ref="G28:L28" si="6">+G23</f>
        <v>0</v>
      </c>
      <c r="H28" s="1231">
        <f t="shared" si="6"/>
        <v>0</v>
      </c>
      <c r="I28" s="1231">
        <f t="shared" si="6"/>
        <v>23608</v>
      </c>
      <c r="J28" s="1231">
        <f t="shared" si="6"/>
        <v>2154951</v>
      </c>
      <c r="K28" s="1231">
        <f t="shared" si="6"/>
        <v>2344084</v>
      </c>
      <c r="L28" s="1231">
        <f t="shared" si="6"/>
        <v>896878</v>
      </c>
      <c r="M28" s="1244"/>
      <c r="N28" s="1231">
        <v>0</v>
      </c>
      <c r="O28" s="1231">
        <v>0</v>
      </c>
      <c r="P28" s="1231">
        <v>0</v>
      </c>
      <c r="Q28" s="1232">
        <f t="shared" si="5"/>
        <v>5875850</v>
      </c>
      <c r="W28" s="1224"/>
    </row>
    <row r="29" spans="1:23" ht="15" customHeight="1">
      <c r="A29" s="1242"/>
      <c r="B29" s="1446" t="s">
        <v>1393</v>
      </c>
      <c r="C29" s="1231">
        <v>0</v>
      </c>
      <c r="D29" s="1231">
        <v>0</v>
      </c>
      <c r="E29" s="1231">
        <v>0</v>
      </c>
      <c r="F29" s="1231">
        <v>0</v>
      </c>
      <c r="G29" s="1231">
        <v>0</v>
      </c>
      <c r="H29" s="1231">
        <v>0</v>
      </c>
      <c r="I29" s="1231">
        <v>0</v>
      </c>
      <c r="J29" s="1231">
        <v>0</v>
      </c>
      <c r="K29" s="1231">
        <v>0</v>
      </c>
      <c r="L29" s="1231">
        <v>0</v>
      </c>
      <c r="M29" s="1231">
        <v>0</v>
      </c>
      <c r="N29" s="1231">
        <v>0</v>
      </c>
      <c r="O29" s="1231">
        <v>0</v>
      </c>
      <c r="P29" s="1231">
        <v>0</v>
      </c>
      <c r="Q29" s="1232">
        <f t="shared" si="5"/>
        <v>0</v>
      </c>
      <c r="W29" s="1224"/>
    </row>
    <row r="30" spans="1:23" ht="15" customHeight="1">
      <c r="A30" s="1242"/>
      <c r="B30" s="1230" t="s">
        <v>423</v>
      </c>
      <c r="C30" s="1241">
        <f t="shared" ref="C30:Q30" si="7">SUM(C26:C29)</f>
        <v>390608</v>
      </c>
      <c r="D30" s="1241">
        <f t="shared" si="7"/>
        <v>0</v>
      </c>
      <c r="E30" s="1241">
        <f t="shared" si="7"/>
        <v>0</v>
      </c>
      <c r="F30" s="1241">
        <f t="shared" si="7"/>
        <v>65721</v>
      </c>
      <c r="G30" s="1241">
        <f t="shared" si="7"/>
        <v>0</v>
      </c>
      <c r="H30" s="1241">
        <f t="shared" si="7"/>
        <v>0</v>
      </c>
      <c r="I30" s="1241">
        <f t="shared" si="7"/>
        <v>23608</v>
      </c>
      <c r="J30" s="1241">
        <f t="shared" si="7"/>
        <v>2154951</v>
      </c>
      <c r="K30" s="1241">
        <f t="shared" si="7"/>
        <v>2344084</v>
      </c>
      <c r="L30" s="1241">
        <f t="shared" si="7"/>
        <v>896878</v>
      </c>
      <c r="M30" s="1241">
        <f t="shared" si="7"/>
        <v>0</v>
      </c>
      <c r="N30" s="1241">
        <f t="shared" si="7"/>
        <v>0</v>
      </c>
      <c r="O30" s="1241">
        <f t="shared" si="7"/>
        <v>0</v>
      </c>
      <c r="P30" s="1241">
        <f t="shared" si="7"/>
        <v>0</v>
      </c>
      <c r="Q30" s="1241">
        <f t="shared" si="7"/>
        <v>5875850</v>
      </c>
      <c r="W30" s="1224"/>
    </row>
    <row r="31" spans="1:23" ht="15" customHeight="1">
      <c r="A31" s="1242"/>
      <c r="B31" s="1230"/>
      <c r="C31" s="1238"/>
      <c r="D31" s="1238"/>
      <c r="E31" s="1238"/>
      <c r="F31" s="1238"/>
      <c r="W31" s="1224"/>
    </row>
    <row r="32" spans="1:23">
      <c r="A32" s="1245" t="s">
        <v>268</v>
      </c>
      <c r="B32" s="1446" t="s">
        <v>424</v>
      </c>
    </row>
    <row r="33" spans="1:5">
      <c r="A33" s="1785" t="s">
        <v>1409</v>
      </c>
      <c r="B33" s="1786"/>
      <c r="C33" s="1786"/>
      <c r="D33" s="1786"/>
      <c r="E33" s="1787"/>
    </row>
    <row r="34" spans="1:5">
      <c r="A34" s="1788"/>
      <c r="B34" s="1789"/>
      <c r="C34" s="1789"/>
      <c r="D34" s="1789"/>
      <c r="E34" s="1790"/>
    </row>
    <row r="35" spans="1:5">
      <c r="A35" s="1788"/>
      <c r="B35" s="1789"/>
      <c r="C35" s="1789"/>
      <c r="D35" s="1789"/>
      <c r="E35" s="1790"/>
    </row>
    <row r="36" spans="1:5">
      <c r="A36" s="1788"/>
      <c r="B36" s="1789"/>
      <c r="C36" s="1789"/>
      <c r="D36" s="1789"/>
      <c r="E36" s="1790"/>
    </row>
    <row r="37" spans="1:5">
      <c r="A37" s="1788"/>
      <c r="B37" s="1789"/>
      <c r="C37" s="1789"/>
      <c r="D37" s="1789"/>
      <c r="E37" s="1790"/>
    </row>
    <row r="38" spans="1:5">
      <c r="A38" s="1788"/>
      <c r="B38" s="1789"/>
      <c r="C38" s="1789"/>
      <c r="D38" s="1789"/>
      <c r="E38" s="1790"/>
    </row>
    <row r="39" spans="1:5">
      <c r="A39" s="1788"/>
      <c r="B39" s="1789"/>
      <c r="C39" s="1789"/>
      <c r="D39" s="1789"/>
      <c r="E39" s="1790"/>
    </row>
    <row r="40" spans="1:5">
      <c r="A40" s="1791"/>
      <c r="B40" s="1792"/>
      <c r="C40" s="1792"/>
      <c r="D40" s="1792"/>
      <c r="E40" s="1793"/>
    </row>
  </sheetData>
  <sheetProtection sheet="1" objects="1" scenarios="1"/>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16" priority="5">
      <formula>LEN(TRIM(A33))=0</formula>
    </cfRule>
  </conditionalFormatting>
  <conditionalFormatting sqref="C26:D29">
    <cfRule type="containsBlanks" dxfId="15" priority="14">
      <formula>LEN(TRIM(C26))=0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B10" location="FundBalA1" display="FY 2025 final ending fund balance" xr:uid="{00000000-0004-0000-0D00-000000000000}"/>
    <hyperlink ref="B14" location="FundBalA2a" display="(a) FY 2026 revenues and other financing sources" xr:uid="{00000000-0004-0000-0D00-000001000000}"/>
    <hyperlink ref="B15" location="FundBalA2b" display="(b) FY 2026 expenditures and other financing uses" xr:uid="{00000000-0004-0000-0D00-000002000000}"/>
    <hyperlink ref="B18" location="FundBalA3a" display="(a) Nonspendable " xr:uid="{00000000-0004-0000-0D00-000003000000}"/>
    <hyperlink ref="B19" location="FundBalA3b" display="(b) Restricted" xr:uid="{00000000-0004-0000-0D00-000004000000}"/>
    <hyperlink ref="B20" location="FundBalA3c" display="(c) Committed" xr:uid="{00000000-0004-0000-0D00-000005000000}"/>
    <hyperlink ref="B21" location="FundBalA3d" display="(d) Assigned" xr:uid="{00000000-0004-0000-0D00-000006000000}"/>
    <hyperlink ref="B22" location="FundBalA3e" display="(e) Unassigned" xr:uid="{00000000-0004-0000-0D00-000007000000}"/>
    <hyperlink ref="B26" location="FundBalA4a" display="(a) Fund deficit" xr:uid="{00000000-0004-0000-0D00-000008000000}"/>
    <hyperlink ref="B27" location="FundBalA4b" display="(b) Fund balance exceeding budget capacity in budget controlled funds" xr:uid="{00000000-0004-0000-0D00-000009000000}"/>
    <hyperlink ref="B28" location="FundBalA4c" display="(c) Planned to be spent in FY 2027" xr:uid="{00000000-0004-0000-0D00-00000A000000}"/>
    <hyperlink ref="B29" location="FundBalA4d" display="(d) Maintained for spending after FY 2027" xr:uid="{00000000-0004-0000-0D00-00000B000000}"/>
    <hyperlink ref="B32" location="FundBalC" display="Comments (optional)" xr:uid="{00000000-0004-0000-0D00-00000C000000}"/>
    <hyperlink ref="A6:B6" location="FundBalGen" display="Instructions" xr:uid="{00000000-0004-0000-0D00-00000D000000}"/>
  </hyperlinks>
  <printOptions horizontalCentered="1"/>
  <pageMargins left="0.25" right="0.25" top="0.25" bottom="0.25" header="0" footer="0.15"/>
  <pageSetup paperSize="5" scale="50" orientation="landscape" r:id="rId1"/>
  <headerFooter alignWithMargins="0">
    <oddFooter>&amp;L&amp;"Times New Roman,Bold"&amp;9Rev. 5/26&amp;K000000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A146"/>
  <sheetViews>
    <sheetView showGridLines="0" topLeftCell="A21" workbookViewId="0">
      <selection activeCell="L116" sqref="L116"/>
    </sheetView>
  </sheetViews>
  <sheetFormatPr defaultColWidth="9" defaultRowHeight="12"/>
  <cols>
    <col min="1" max="1" width="2.453125" style="96" customWidth="1"/>
    <col min="2" max="2" width="2" style="96" customWidth="1"/>
    <col min="3" max="3" width="2.54296875" style="96" customWidth="1"/>
    <col min="4" max="4" width="3" style="96" customWidth="1"/>
    <col min="5" max="5" width="15" style="96" customWidth="1"/>
    <col min="6" max="6" width="9" style="96" customWidth="1"/>
    <col min="7" max="7" width="9.453125" style="96" customWidth="1"/>
    <col min="8" max="9" width="9" style="96" customWidth="1"/>
    <col min="10" max="10" width="9.81640625" style="96" customWidth="1"/>
    <col min="11" max="11" width="13.1796875" style="96" customWidth="1"/>
    <col min="12" max="12" width="9.81640625" style="96" customWidth="1"/>
    <col min="13" max="14" width="9" style="96" customWidth="1"/>
    <col min="15" max="15" width="10" style="96" customWidth="1"/>
    <col min="16" max="16" width="3" style="96" customWidth="1"/>
    <col min="17" max="17" width="9.81640625" style="96" bestFit="1" customWidth="1"/>
    <col min="18" max="23" width="9" style="96" customWidth="1"/>
    <col min="24" max="16384" width="9" style="96"/>
  </cols>
  <sheetData>
    <row r="1" spans="1:15">
      <c r="A1" s="1819" t="s">
        <v>56</v>
      </c>
      <c r="B1" s="1819"/>
      <c r="C1" s="1819"/>
      <c r="D1" s="1819"/>
      <c r="E1" s="1808" t="str">
        <f>DistrictName</f>
        <v>Stanfield Elementary School District</v>
      </c>
      <c r="F1" s="1808"/>
      <c r="G1" s="1808"/>
      <c r="H1" s="1309" t="s">
        <v>1</v>
      </c>
      <c r="I1" s="1820" t="str">
        <f>Cover!H1</f>
        <v>Pinal</v>
      </c>
      <c r="J1" s="1808"/>
      <c r="K1" s="1309" t="s">
        <v>57</v>
      </c>
      <c r="L1" s="748" t="str">
        <f>CTD</f>
        <v>110424000</v>
      </c>
    </row>
    <row r="2" spans="1:15">
      <c r="K2" s="1309" t="s">
        <v>16</v>
      </c>
      <c r="L2" s="748" t="str">
        <f>Cover!C8</f>
        <v>Proposed</v>
      </c>
    </row>
    <row r="3" spans="1:15" ht="15" customHeight="1">
      <c r="C3" s="1571" t="s">
        <v>692</v>
      </c>
      <c r="D3" s="1571"/>
      <c r="E3" s="1571"/>
      <c r="F3" s="1810" t="s">
        <v>425</v>
      </c>
      <c r="G3" s="1810"/>
      <c r="H3" s="1810"/>
      <c r="I3" s="1810"/>
    </row>
    <row r="4" spans="1:15" ht="12.6" thickBot="1"/>
    <row r="5" spans="1:15" ht="16.5" customHeight="1" thickBot="1">
      <c r="B5" s="1193" t="s">
        <v>1379</v>
      </c>
      <c r="C5" s="749"/>
      <c r="D5" s="749"/>
      <c r="E5" s="749"/>
      <c r="F5" s="749"/>
      <c r="G5" s="749"/>
      <c r="H5" s="749"/>
      <c r="I5" s="749"/>
      <c r="J5" s="749"/>
      <c r="K5" s="749"/>
      <c r="L5" s="1813" t="str">
        <f>IF(OR(L1=0,L2=0),"ENTER CTD NUMBER AND VERSION ON COVER PAGE","")</f>
        <v/>
      </c>
      <c r="M5" s="1814"/>
    </row>
    <row r="6" spans="1:15" ht="24.75" customHeight="1" thickBot="1">
      <c r="B6" s="750"/>
      <c r="C6" s="1821" t="s">
        <v>1389</v>
      </c>
      <c r="D6" s="1821"/>
      <c r="E6" s="1821"/>
      <c r="F6" s="1821"/>
      <c r="G6" s="1821"/>
      <c r="H6" s="1821"/>
      <c r="I6" s="1517" t="s">
        <v>274</v>
      </c>
      <c r="J6" s="1518">
        <v>5215.53</v>
      </c>
      <c r="K6" s="1430"/>
      <c r="L6" s="1813"/>
      <c r="M6" s="1814"/>
    </row>
    <row r="7" spans="1:15" ht="24" customHeight="1" thickBot="1">
      <c r="B7" s="750"/>
      <c r="C7" s="1822" t="s">
        <v>1390</v>
      </c>
      <c r="D7" s="1822"/>
      <c r="E7" s="1822"/>
      <c r="F7" s="1822"/>
      <c r="G7" s="1822"/>
      <c r="H7" s="1822"/>
      <c r="I7" s="1517"/>
      <c r="J7" s="1430"/>
      <c r="K7" s="1430"/>
      <c r="L7" s="1813"/>
      <c r="M7" s="1814"/>
    </row>
    <row r="8" spans="1:15" ht="12.75" customHeight="1" thickBot="1">
      <c r="B8" s="750"/>
      <c r="C8" s="1430"/>
      <c r="D8" s="1430" t="s">
        <v>1380</v>
      </c>
      <c r="E8" s="1430"/>
      <c r="F8" s="1430"/>
      <c r="G8" s="1430"/>
      <c r="H8" s="1430"/>
      <c r="I8" s="1517" t="s">
        <v>274</v>
      </c>
      <c r="J8" s="1518">
        <v>3.07</v>
      </c>
      <c r="K8" s="1430"/>
      <c r="L8" s="1813"/>
      <c r="M8" s="1814"/>
    </row>
    <row r="9" spans="1:15" ht="12.75" customHeight="1" thickBot="1">
      <c r="B9" s="750"/>
      <c r="C9" s="1430"/>
      <c r="D9" s="1430" t="s">
        <v>426</v>
      </c>
      <c r="E9" s="1430"/>
      <c r="F9" s="1430"/>
      <c r="G9" s="1430"/>
      <c r="H9" s="1430"/>
      <c r="I9" s="1517" t="s">
        <v>274</v>
      </c>
      <c r="J9" s="1518">
        <v>2.52</v>
      </c>
      <c r="K9" s="1430"/>
      <c r="L9" s="1813"/>
      <c r="M9" s="1814"/>
    </row>
    <row r="10" spans="1:15" ht="22.5" customHeight="1" thickBot="1">
      <c r="B10" s="750"/>
      <c r="C10" s="1817" t="s">
        <v>1398</v>
      </c>
      <c r="D10" s="1817"/>
      <c r="E10" s="1817"/>
      <c r="F10" s="1817"/>
      <c r="G10" s="1817"/>
      <c r="H10" s="1817"/>
      <c r="I10" s="1818"/>
      <c r="J10" s="1520">
        <v>1.5127999999999999</v>
      </c>
      <c r="K10" s="1430"/>
      <c r="L10" s="1813"/>
      <c r="M10" s="1814"/>
    </row>
    <row r="11" spans="1:15" ht="12.6" thickBot="1">
      <c r="B11" s="750"/>
      <c r="C11" s="1521" t="s">
        <v>1381</v>
      </c>
      <c r="D11" s="1519"/>
      <c r="E11" s="1519"/>
      <c r="F11" s="1519"/>
      <c r="G11" s="1519"/>
      <c r="H11" s="1519"/>
      <c r="I11" s="1522" t="s">
        <v>274</v>
      </c>
      <c r="J11" s="1518">
        <v>883</v>
      </c>
      <c r="K11" s="1262"/>
      <c r="L11" s="1813"/>
      <c r="M11" s="1814"/>
    </row>
    <row r="12" spans="1:15" ht="9" customHeight="1" thickBot="1">
      <c r="B12" s="751"/>
      <c r="C12" s="752"/>
      <c r="D12" s="752"/>
      <c r="E12" s="752"/>
      <c r="F12" s="752"/>
      <c r="G12" s="752"/>
      <c r="H12" s="752"/>
      <c r="I12" s="752"/>
      <c r="J12" s="752"/>
      <c r="K12" s="753"/>
      <c r="L12" s="1813"/>
      <c r="M12" s="1814"/>
      <c r="N12" s="905" t="s">
        <v>58</v>
      </c>
      <c r="O12" s="1367" t="s">
        <v>59</v>
      </c>
    </row>
    <row r="13" spans="1:15" ht="13.8">
      <c r="N13" s="905" t="s">
        <v>60</v>
      </c>
      <c r="O13" s="1367" t="s">
        <v>61</v>
      </c>
    </row>
    <row r="14" spans="1:15" ht="15.6">
      <c r="A14" s="310" t="s">
        <v>1143</v>
      </c>
      <c r="N14" s="905" t="s">
        <v>62</v>
      </c>
      <c r="O14" s="1367" t="s">
        <v>63</v>
      </c>
    </row>
    <row r="15" spans="1:15" ht="13.8">
      <c r="B15" s="1351"/>
      <c r="C15" s="1352"/>
      <c r="D15" s="1353"/>
      <c r="G15" s="1804" t="s">
        <v>1144</v>
      </c>
      <c r="H15" s="1804"/>
      <c r="N15" s="905" t="s">
        <v>64</v>
      </c>
      <c r="O15" s="1367" t="s">
        <v>65</v>
      </c>
    </row>
    <row r="16" spans="1:15" ht="13.8">
      <c r="B16" s="96" t="s">
        <v>1145</v>
      </c>
      <c r="C16" s="150"/>
      <c r="D16" s="151"/>
      <c r="F16" s="204"/>
      <c r="G16" s="1805" t="s">
        <v>67</v>
      </c>
      <c r="H16" s="1805"/>
      <c r="J16" s="151"/>
      <c r="K16" s="150"/>
      <c r="N16" s="905" t="s">
        <v>66</v>
      </c>
      <c r="O16" s="905"/>
    </row>
    <row r="17" spans="1:26" ht="13.8">
      <c r="C17" s="150"/>
      <c r="D17" s="151"/>
      <c r="F17" s="204"/>
      <c r="H17" s="152"/>
      <c r="I17" s="152"/>
      <c r="J17" s="151"/>
      <c r="K17" s="150"/>
      <c r="N17" s="905" t="s">
        <v>67</v>
      </c>
      <c r="O17" s="905"/>
    </row>
    <row r="18" spans="1:26" ht="13.8">
      <c r="B18" s="96" t="s">
        <v>1146</v>
      </c>
      <c r="C18" s="150"/>
      <c r="D18" s="151"/>
      <c r="F18" s="204"/>
      <c r="G18" s="1806" t="s">
        <v>59</v>
      </c>
      <c r="H18" s="1807"/>
      <c r="J18" s="1373"/>
      <c r="N18" s="905" t="s">
        <v>68</v>
      </c>
      <c r="O18" s="905"/>
    </row>
    <row r="19" spans="1:26" ht="13.8">
      <c r="C19" s="150"/>
      <c r="D19" s="151"/>
      <c r="F19" s="204"/>
      <c r="H19" s="1510"/>
      <c r="I19" s="154"/>
      <c r="J19" s="151"/>
      <c r="K19" s="155"/>
      <c r="N19" s="905" t="s">
        <v>69</v>
      </c>
      <c r="O19" s="905"/>
    </row>
    <row r="20" spans="1:26" ht="13.8">
      <c r="B20" s="96" t="s">
        <v>1147</v>
      </c>
      <c r="C20" s="150"/>
      <c r="D20" s="151"/>
      <c r="F20" s="204"/>
      <c r="G20" s="1806"/>
      <c r="H20" s="1807"/>
      <c r="J20" s="151"/>
      <c r="K20" s="155"/>
      <c r="N20" s="905" t="s">
        <v>931</v>
      </c>
      <c r="O20" s="905"/>
    </row>
    <row r="21" spans="1:26" ht="15.6">
      <c r="B21" s="1511"/>
      <c r="C21" s="1352"/>
      <c r="D21" s="153"/>
      <c r="E21" s="204"/>
      <c r="F21" s="204"/>
      <c r="H21" s="1512"/>
      <c r="I21" s="1443"/>
      <c r="J21"/>
      <c r="K21"/>
      <c r="N21" s="905" t="s">
        <v>932</v>
      </c>
      <c r="O21" s="905"/>
    </row>
    <row r="22" spans="1:26" ht="15">
      <c r="A22"/>
      <c r="B22" s="1513" t="s">
        <v>1148</v>
      </c>
      <c r="C22" s="1513"/>
      <c r="D22" s="1513"/>
      <c r="E22" s="1513"/>
      <c r="G22" s="1803" t="s">
        <v>1399</v>
      </c>
      <c r="H22" s="1803"/>
      <c r="I22" s="1443"/>
      <c r="J22"/>
      <c r="K22"/>
      <c r="N22" s="905" t="s">
        <v>70</v>
      </c>
      <c r="O22" s="905"/>
    </row>
    <row r="23" spans="1:26" ht="15">
      <c r="C23" s="1352"/>
      <c r="D23" s="153"/>
      <c r="E23" s="204"/>
      <c r="F23" s="204"/>
      <c r="I23" s="1443"/>
      <c r="J23"/>
      <c r="K23"/>
      <c r="N23" s="905" t="s">
        <v>71</v>
      </c>
      <c r="O23" s="905"/>
    </row>
    <row r="24" spans="1:26">
      <c r="B24" s="5"/>
      <c r="N24" s="905" t="s">
        <v>72</v>
      </c>
      <c r="O24" s="905"/>
    </row>
    <row r="25" spans="1:26" ht="15.6">
      <c r="A25" s="310" t="s">
        <v>427</v>
      </c>
      <c r="C25" s="310"/>
      <c r="D25" s="310"/>
      <c r="E25" s="310"/>
      <c r="N25" s="905" t="s">
        <v>73</v>
      </c>
      <c r="O25" s="905"/>
    </row>
    <row r="26" spans="1:26" ht="49.5" customHeight="1">
      <c r="B26" s="1633" t="s">
        <v>428</v>
      </c>
      <c r="C26" s="1771"/>
      <c r="D26" s="1771"/>
      <c r="E26" s="1771"/>
      <c r="F26" s="1771"/>
      <c r="G26" s="1771"/>
      <c r="H26" s="1771"/>
      <c r="I26" s="1771"/>
      <c r="J26" s="1771"/>
      <c r="K26" s="1771"/>
      <c r="N26" s="905" t="s">
        <v>74</v>
      </c>
      <c r="O26" s="905"/>
    </row>
    <row r="27" spans="1:26" ht="17.25" customHeight="1">
      <c r="C27" s="116" t="s">
        <v>1150</v>
      </c>
      <c r="G27" s="754" t="s">
        <v>429</v>
      </c>
      <c r="H27" s="754" t="s">
        <v>430</v>
      </c>
      <c r="I27" s="755" t="s">
        <v>431</v>
      </c>
      <c r="J27" s="756" t="s">
        <v>360</v>
      </c>
      <c r="K27" s="757"/>
      <c r="L27" s="1815" t="s">
        <v>1149</v>
      </c>
      <c r="M27" s="1815"/>
      <c r="N27" s="1815"/>
      <c r="O27" s="1816"/>
      <c r="P27" s="73"/>
    </row>
    <row r="28" spans="1:26" ht="11.25" customHeight="1">
      <c r="B28" s="758" t="s">
        <v>6</v>
      </c>
      <c r="C28" s="1587" t="s">
        <v>1296</v>
      </c>
      <c r="D28" s="1587"/>
      <c r="E28" s="1587"/>
      <c r="G28" s="759"/>
      <c r="H28" s="759"/>
      <c r="I28" s="760"/>
      <c r="J28" s="80">
        <v>328.01620000000003</v>
      </c>
      <c r="K28" s="1811" t="str">
        <f>IF(AND(J34&gt;0,PY100DayADM=""),_xlfn.CONCAT("ENTER ",C28),"")</f>
        <v/>
      </c>
      <c r="L28" s="1812"/>
      <c r="M28" s="1812"/>
      <c r="N28" s="1812"/>
    </row>
    <row r="29" spans="1:26" ht="11.25" customHeight="1">
      <c r="B29" s="758" t="s">
        <v>432</v>
      </c>
      <c r="C29" s="1587" t="s">
        <v>1297</v>
      </c>
      <c r="D29" s="1587"/>
      <c r="E29" s="1587"/>
      <c r="G29" s="81">
        <v>0.29049999999999998</v>
      </c>
      <c r="H29" s="81">
        <v>325.38459999999998</v>
      </c>
      <c r="I29" s="82"/>
      <c r="J29" s="762">
        <f>UnweightedStudCntPSDPY+UnweightedStudCntK8PY+UnweightedStudCnt912PY</f>
        <v>325.67509999999999</v>
      </c>
      <c r="K29" s="1811"/>
      <c r="L29" s="1812"/>
      <c r="M29" s="1812"/>
      <c r="N29" s="1812"/>
      <c r="Y29" s="764">
        <f>IF(AND(UnweightedStudCntK8PY&gt;125,UnweightedStudCntK8PY&lt;154),1,0)</f>
        <v>0</v>
      </c>
      <c r="Z29" s="765">
        <f>IF(AND(UnweightedStudCnt912PY&gt;100,UnweightedStudCnt912PY&lt;176),1,0)</f>
        <v>0</v>
      </c>
    </row>
    <row r="30" spans="1:26">
      <c r="B30" s="766"/>
      <c r="C30" s="116" t="s">
        <v>1151</v>
      </c>
      <c r="G30" s="746"/>
      <c r="H30" s="746"/>
      <c r="I30" s="746"/>
      <c r="J30" s="746"/>
    </row>
    <row r="31" spans="1:26" ht="11.25" customHeight="1">
      <c r="B31" s="758" t="s">
        <v>22</v>
      </c>
      <c r="C31" s="96" t="s">
        <v>1298</v>
      </c>
      <c r="G31" s="81">
        <v>0.5</v>
      </c>
      <c r="H31" s="81">
        <v>335</v>
      </c>
      <c r="I31" s="82"/>
      <c r="J31" s="762">
        <f>NonAOIStudCntPSDCY+NonAOIStudCntK8CY+NonAOIStudCnt912CY</f>
        <v>335.5</v>
      </c>
      <c r="K31" s="1826"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27"/>
      <c r="M31" s="1827"/>
    </row>
    <row r="32" spans="1:26">
      <c r="B32" s="758" t="s">
        <v>40</v>
      </c>
      <c r="C32" s="96" t="s">
        <v>1299</v>
      </c>
      <c r="G32" s="767"/>
      <c r="H32" s="81"/>
      <c r="I32" s="82"/>
      <c r="J32" s="762">
        <f>AOIFTStudCntK8CY+AOIFTStudCnt912CY</f>
        <v>0</v>
      </c>
      <c r="K32" s="1826"/>
      <c r="L32" s="1827"/>
      <c r="M32" s="1827"/>
    </row>
    <row r="33" spans="2:17">
      <c r="B33" s="758" t="s">
        <v>98</v>
      </c>
      <c r="C33" s="96" t="s">
        <v>1300</v>
      </c>
      <c r="G33" s="767"/>
      <c r="H33" s="81"/>
      <c r="I33" s="82"/>
      <c r="J33" s="762">
        <f>AOIPTStudCntK8CY+AOIPTStudCnt912CY</f>
        <v>0</v>
      </c>
      <c r="K33" s="1826"/>
      <c r="L33" s="1827"/>
      <c r="M33" s="1827"/>
    </row>
    <row r="34" spans="2:17">
      <c r="B34" s="207" t="s">
        <v>99</v>
      </c>
      <c r="C34" s="96" t="s">
        <v>1301</v>
      </c>
      <c r="G34" s="762">
        <f>NonAOIStudCntPSDCY</f>
        <v>0.5</v>
      </c>
      <c r="H34" s="762">
        <f>NonAOIStudCntK8CY+AOIFTStudCntK8CY+AOIPTStudCntK8CY</f>
        <v>335</v>
      </c>
      <c r="I34" s="763">
        <f>NonAOIStudCnt912CY+AOIFTStudCnt912CY+AOIPTStudCnt912CY</f>
        <v>0</v>
      </c>
      <c r="J34" s="762">
        <f>G34+H34+I34</f>
        <v>335.5</v>
      </c>
      <c r="K34" s="1827"/>
      <c r="L34" s="1827"/>
      <c r="M34" s="1827"/>
    </row>
    <row r="35" spans="2:17" ht="12.75" customHeight="1">
      <c r="J35" s="591"/>
      <c r="K35" s="1827"/>
      <c r="L35" s="1827"/>
      <c r="M35" s="1827"/>
    </row>
    <row r="36" spans="2:17" ht="11.25" customHeight="1"/>
    <row r="37" spans="2:17" ht="12.75" customHeight="1">
      <c r="B37" s="1828" t="s">
        <v>433</v>
      </c>
      <c r="C37" s="1828"/>
      <c r="D37" s="1828"/>
      <c r="E37" s="1828"/>
    </row>
    <row r="38" spans="2:17" ht="15" customHeight="1">
      <c r="B38" s="741"/>
      <c r="C38" s="119" t="s">
        <v>434</v>
      </c>
    </row>
    <row r="39" spans="2:17" ht="35.25" customHeight="1">
      <c r="B39" s="1304"/>
      <c r="C39" s="334"/>
      <c r="D39" s="768"/>
      <c r="E39" s="768"/>
      <c r="F39" s="769"/>
      <c r="G39" s="770" t="s">
        <v>1154</v>
      </c>
      <c r="H39" s="770" t="s">
        <v>1153</v>
      </c>
      <c r="I39" s="770" t="s">
        <v>1152</v>
      </c>
      <c r="M39" s="1273"/>
      <c r="N39" s="1273"/>
      <c r="P39" s="1273"/>
      <c r="Q39" s="1273"/>
    </row>
    <row r="40" spans="2:17">
      <c r="B40" s="758" t="s">
        <v>100</v>
      </c>
      <c r="C40" s="771" t="s">
        <v>437</v>
      </c>
      <c r="D40" s="772"/>
      <c r="E40" s="772"/>
      <c r="F40" s="772"/>
      <c r="G40" s="81">
        <v>85.7</v>
      </c>
      <c r="H40" s="81"/>
      <c r="I40" s="81"/>
      <c r="M40" s="777"/>
      <c r="N40" s="778"/>
      <c r="O40" s="778"/>
      <c r="P40" s="777"/>
      <c r="Q40" s="778"/>
    </row>
    <row r="41" spans="2:17">
      <c r="B41" s="774" t="s">
        <v>102</v>
      </c>
      <c r="C41" s="775" t="s">
        <v>436</v>
      </c>
      <c r="D41" s="776"/>
      <c r="E41" s="776"/>
      <c r="F41" s="776"/>
      <c r="G41" s="64">
        <v>126.6728</v>
      </c>
      <c r="H41" s="64"/>
      <c r="I41" s="64"/>
      <c r="M41" s="777"/>
      <c r="N41" s="778"/>
      <c r="O41" s="778"/>
      <c r="P41" s="777"/>
      <c r="Q41" s="778"/>
    </row>
    <row r="42" spans="2:17" ht="11.25" customHeight="1">
      <c r="B42" s="758" t="s">
        <v>103</v>
      </c>
      <c r="C42" s="771" t="s">
        <v>614</v>
      </c>
      <c r="D42" s="772"/>
      <c r="E42" s="772"/>
      <c r="F42" s="772"/>
      <c r="G42" s="84">
        <f>+NonAOIStudCntK3</f>
        <v>126.6728</v>
      </c>
      <c r="H42" s="84"/>
      <c r="I42" s="83"/>
      <c r="M42" s="773"/>
      <c r="N42" s="773"/>
      <c r="P42" s="773"/>
      <c r="Q42" s="773"/>
    </row>
    <row r="43" spans="2:17">
      <c r="B43" s="758" t="s">
        <v>104</v>
      </c>
      <c r="C43" s="775" t="s">
        <v>438</v>
      </c>
      <c r="D43" s="776"/>
      <c r="E43" s="776"/>
      <c r="F43" s="776"/>
      <c r="G43" s="64"/>
      <c r="H43" s="64"/>
      <c r="I43" s="64"/>
      <c r="M43" s="777"/>
      <c r="N43" s="778"/>
      <c r="O43" s="778"/>
      <c r="P43" s="777"/>
      <c r="Q43" s="778"/>
    </row>
    <row r="44" spans="2:17">
      <c r="B44" s="758" t="s">
        <v>105</v>
      </c>
      <c r="C44" s="771" t="s">
        <v>439</v>
      </c>
      <c r="D44" s="772"/>
      <c r="E44" s="772"/>
      <c r="F44" s="772"/>
      <c r="G44" s="81"/>
      <c r="H44" s="81"/>
      <c r="I44" s="81"/>
      <c r="M44" s="777"/>
      <c r="N44" s="778"/>
      <c r="O44" s="778"/>
      <c r="P44" s="777"/>
      <c r="Q44" s="778"/>
    </row>
    <row r="45" spans="2:17">
      <c r="B45" s="758" t="s">
        <v>106</v>
      </c>
      <c r="C45" s="775" t="s">
        <v>440</v>
      </c>
      <c r="D45" s="776"/>
      <c r="E45" s="776"/>
      <c r="F45" s="776"/>
      <c r="G45" s="64">
        <v>6.18</v>
      </c>
      <c r="H45" s="64"/>
      <c r="I45" s="64"/>
      <c r="M45" s="777"/>
      <c r="N45" s="778"/>
      <c r="O45" s="778"/>
      <c r="P45" s="777"/>
      <c r="Q45" s="778"/>
    </row>
    <row r="46" spans="2:17">
      <c r="B46" s="758" t="s">
        <v>107</v>
      </c>
      <c r="C46" s="771" t="s">
        <v>441</v>
      </c>
      <c r="D46" s="772"/>
      <c r="E46" s="772"/>
      <c r="F46" s="772"/>
      <c r="G46" s="81"/>
      <c r="H46" s="81"/>
      <c r="I46" s="81"/>
      <c r="M46" s="777"/>
      <c r="N46" s="778"/>
      <c r="O46" s="778"/>
      <c r="P46" s="777"/>
      <c r="Q46" s="778"/>
    </row>
    <row r="47" spans="2:17">
      <c r="B47" s="758" t="s">
        <v>108</v>
      </c>
      <c r="C47" s="775" t="s">
        <v>442</v>
      </c>
      <c r="D47" s="776"/>
      <c r="E47" s="776"/>
      <c r="F47" s="776"/>
      <c r="G47" s="64"/>
      <c r="H47" s="64"/>
      <c r="I47" s="64"/>
      <c r="M47" s="777"/>
      <c r="N47" s="778"/>
      <c r="O47" s="778"/>
      <c r="P47" s="777"/>
      <c r="Q47" s="778"/>
    </row>
    <row r="48" spans="2:17">
      <c r="B48" s="758" t="s">
        <v>109</v>
      </c>
      <c r="C48" s="771" t="s">
        <v>443</v>
      </c>
      <c r="D48" s="772"/>
      <c r="E48" s="772"/>
      <c r="F48" s="772"/>
      <c r="G48" s="81">
        <v>1</v>
      </c>
      <c r="H48" s="81"/>
      <c r="I48" s="81"/>
      <c r="M48" s="777"/>
      <c r="N48" s="778"/>
      <c r="O48" s="778"/>
      <c r="P48" s="777"/>
      <c r="Q48" s="778"/>
    </row>
    <row r="49" spans="1:18">
      <c r="B49" s="758" t="s">
        <v>110</v>
      </c>
      <c r="C49" s="775" t="s">
        <v>444</v>
      </c>
      <c r="D49" s="776"/>
      <c r="E49" s="776"/>
      <c r="F49" s="776"/>
      <c r="G49" s="64"/>
      <c r="H49" s="64"/>
      <c r="I49" s="64"/>
      <c r="M49" s="777"/>
      <c r="N49" s="778"/>
      <c r="O49" s="778"/>
      <c r="P49" s="777"/>
      <c r="Q49" s="778"/>
    </row>
    <row r="50" spans="1:18">
      <c r="B50" s="758" t="s">
        <v>111</v>
      </c>
      <c r="C50" s="771" t="s">
        <v>445</v>
      </c>
      <c r="D50" s="772"/>
      <c r="E50" s="772"/>
      <c r="F50" s="772"/>
      <c r="G50" s="81">
        <v>28.48</v>
      </c>
      <c r="H50" s="81"/>
      <c r="I50" s="81"/>
      <c r="J50" s="779" t="s">
        <v>446</v>
      </c>
      <c r="M50" s="777"/>
      <c r="N50" s="778"/>
      <c r="O50" s="778"/>
      <c r="P50" s="777"/>
      <c r="Q50" s="778"/>
    </row>
    <row r="51" spans="1:18">
      <c r="B51" s="758" t="s">
        <v>112</v>
      </c>
      <c r="C51" s="775" t="s">
        <v>447</v>
      </c>
      <c r="D51" s="776"/>
      <c r="E51" s="776"/>
      <c r="F51" s="776"/>
      <c r="G51" s="64"/>
      <c r="H51" s="64"/>
      <c r="I51" s="64"/>
      <c r="M51" s="777"/>
      <c r="N51" s="778"/>
      <c r="O51" s="778"/>
      <c r="P51" s="777"/>
      <c r="Q51" s="778"/>
    </row>
    <row r="52" spans="1:18">
      <c r="B52" s="758" t="s">
        <v>113</v>
      </c>
      <c r="C52" s="771" t="s">
        <v>448</v>
      </c>
      <c r="D52" s="772"/>
      <c r="E52" s="772"/>
      <c r="F52" s="772"/>
      <c r="G52" s="81"/>
      <c r="H52" s="81"/>
      <c r="I52" s="81"/>
      <c r="M52" s="777"/>
      <c r="N52" s="778"/>
      <c r="O52" s="778"/>
      <c r="P52" s="777"/>
      <c r="Q52" s="778"/>
    </row>
    <row r="53" spans="1:18">
      <c r="B53" s="758" t="s">
        <v>114</v>
      </c>
      <c r="C53" s="775" t="s">
        <v>449</v>
      </c>
      <c r="D53" s="776"/>
      <c r="E53" s="776"/>
      <c r="F53" s="776"/>
      <c r="G53" s="85"/>
      <c r="H53" s="85"/>
      <c r="I53" s="85"/>
    </row>
    <row r="54" spans="1:18">
      <c r="B54" s="758" t="s">
        <v>115</v>
      </c>
      <c r="C54" s="771" t="s">
        <v>451</v>
      </c>
      <c r="D54" s="772"/>
      <c r="E54" s="772"/>
      <c r="F54" s="772"/>
      <c r="G54" s="81">
        <v>325.67509999999999</v>
      </c>
      <c r="H54" s="81"/>
      <c r="I54" s="81"/>
      <c r="J54" s="783"/>
      <c r="M54" s="777"/>
      <c r="N54" s="778"/>
      <c r="O54" s="778"/>
      <c r="P54" s="777"/>
      <c r="Q54" s="778"/>
    </row>
    <row r="55" spans="1:18">
      <c r="B55" s="758" t="s">
        <v>116</v>
      </c>
      <c r="C55" s="781" t="s">
        <v>450</v>
      </c>
      <c r="D55" s="782"/>
      <c r="E55" s="782"/>
      <c r="F55" s="782"/>
      <c r="G55" s="64">
        <v>2.56</v>
      </c>
      <c r="H55" s="64"/>
      <c r="I55" s="64"/>
      <c r="M55" s="777"/>
      <c r="N55" s="778"/>
      <c r="O55" s="778"/>
      <c r="P55" s="777"/>
      <c r="Q55" s="778"/>
    </row>
    <row r="56" spans="1:18" ht="11.25" customHeight="1">
      <c r="B56" s="784" t="s">
        <v>117</v>
      </c>
      <c r="C56" s="785" t="s">
        <v>1155</v>
      </c>
      <c r="D56" s="780"/>
      <c r="E56" s="780"/>
      <c r="F56" s="780"/>
      <c r="G56" s="786">
        <f>SUM(G40:G55)</f>
        <v>702.94069999999999</v>
      </c>
      <c r="H56" s="786">
        <f>SUM(H40:H55)</f>
        <v>0</v>
      </c>
      <c r="I56" s="786">
        <f>SUM(I40:I55)</f>
        <v>0</v>
      </c>
      <c r="J56" s="787"/>
      <c r="K56" s="788"/>
      <c r="L56" s="788"/>
      <c r="M56" s="778"/>
      <c r="N56" s="778"/>
      <c r="O56" s="778"/>
      <c r="P56" s="778"/>
      <c r="Q56" s="778"/>
      <c r="R56" s="778"/>
    </row>
    <row r="57" spans="1:18" ht="32.25" customHeight="1">
      <c r="A57" s="310" t="s">
        <v>452</v>
      </c>
    </row>
    <row r="58" spans="1:18" ht="15.75" customHeight="1" thickBot="1">
      <c r="C58" s="96" t="s">
        <v>430</v>
      </c>
      <c r="D58" s="789" t="s">
        <v>431</v>
      </c>
    </row>
    <row r="59" spans="1:18" ht="12.75" customHeight="1" thickBot="1">
      <c r="A59" s="310"/>
      <c r="B59" s="758" t="s">
        <v>6</v>
      </c>
      <c r="C59" s="59"/>
      <c r="D59" s="59"/>
      <c r="E59" s="1809" t="s">
        <v>453</v>
      </c>
      <c r="F59" s="1587"/>
      <c r="G59" s="1587"/>
      <c r="H59" s="1587"/>
      <c r="I59" s="1587"/>
      <c r="J59" s="1587"/>
      <c r="K59" s="1587"/>
    </row>
    <row r="60" spans="1:18" ht="12" customHeight="1" thickBot="1">
      <c r="A60" s="310"/>
    </row>
    <row r="61" spans="1:18" hidden="1"/>
    <row r="62" spans="1:18" ht="12.6" hidden="1" thickBot="1"/>
    <row r="63" spans="1:18" ht="12.6" thickBot="1">
      <c r="B63" s="758" t="s">
        <v>8</v>
      </c>
      <c r="C63" s="59"/>
      <c r="E63" s="96" t="s">
        <v>454</v>
      </c>
    </row>
    <row r="65" spans="1:16">
      <c r="B65" s="758" t="s">
        <v>22</v>
      </c>
      <c r="C65" s="96" t="s">
        <v>1302</v>
      </c>
      <c r="K65" s="1267"/>
      <c r="L65" s="790">
        <f>BSA55BLA</f>
        <v>5215.53</v>
      </c>
      <c r="P65" s="788"/>
    </row>
    <row r="66" spans="1:16" ht="22.5" customHeight="1">
      <c r="B66" s="758" t="s">
        <v>40</v>
      </c>
      <c r="C66" s="1800" t="s">
        <v>1303</v>
      </c>
      <c r="D66" s="1801"/>
      <c r="E66" s="1801"/>
      <c r="F66" s="1801"/>
      <c r="G66" s="1801"/>
      <c r="H66" s="1801"/>
      <c r="I66" s="1801"/>
      <c r="J66" s="1801"/>
      <c r="K66" s="1802"/>
      <c r="L66" s="64">
        <v>1.0323</v>
      </c>
    </row>
    <row r="67" spans="1:16">
      <c r="B67" s="758" t="s">
        <v>98</v>
      </c>
      <c r="C67" s="793" t="s">
        <v>1304</v>
      </c>
      <c r="D67" s="772"/>
      <c r="E67" s="772"/>
      <c r="F67" s="772"/>
      <c r="G67" s="772"/>
      <c r="H67" s="772"/>
      <c r="I67" s="772"/>
      <c r="J67" s="772"/>
      <c r="K67" s="794"/>
      <c r="L67" s="66">
        <v>18705</v>
      </c>
    </row>
    <row r="68" spans="1:16">
      <c r="B68" s="758" t="s">
        <v>99</v>
      </c>
      <c r="C68" s="1194" t="s">
        <v>1305</v>
      </c>
      <c r="D68" s="1195"/>
      <c r="E68" s="1195"/>
      <c r="F68" s="776"/>
      <c r="G68" s="776"/>
      <c r="H68" s="776"/>
      <c r="I68" s="776"/>
      <c r="J68" s="776"/>
      <c r="K68" s="792"/>
      <c r="L68" s="65">
        <v>9163</v>
      </c>
    </row>
    <row r="69" spans="1:16">
      <c r="B69" s="796" t="s">
        <v>100</v>
      </c>
      <c r="C69" s="793" t="s">
        <v>1306</v>
      </c>
      <c r="D69" s="772"/>
      <c r="E69" s="772"/>
      <c r="F69" s="772"/>
      <c r="G69" s="772"/>
      <c r="H69" s="772"/>
      <c r="I69" s="772"/>
      <c r="J69" s="772"/>
      <c r="K69" s="797"/>
      <c r="L69" s="795">
        <f>L67+L68</f>
        <v>27868</v>
      </c>
    </row>
    <row r="71" spans="1:16" ht="21" customHeight="1">
      <c r="A71" s="1139" t="s">
        <v>455</v>
      </c>
      <c r="C71" s="309"/>
      <c r="M71"/>
      <c r="N71"/>
      <c r="O71"/>
      <c r="P71"/>
    </row>
    <row r="72" spans="1:16" ht="12" customHeight="1">
      <c r="B72" s="758" t="s">
        <v>6</v>
      </c>
      <c r="C72" s="771" t="s">
        <v>1307</v>
      </c>
      <c r="D72" s="798"/>
      <c r="E72" s="798"/>
      <c r="F72" s="798"/>
      <c r="G72" s="772"/>
      <c r="H72" s="772"/>
      <c r="I72" s="772"/>
      <c r="J72" s="772"/>
      <c r="K72" s="794"/>
      <c r="L72" s="61">
        <v>453</v>
      </c>
      <c r="M72"/>
      <c r="N72"/>
      <c r="O72"/>
      <c r="P72"/>
    </row>
    <row r="73" spans="1:16" ht="12" customHeight="1">
      <c r="B73" s="758" t="s">
        <v>8</v>
      </c>
      <c r="C73" s="1196" t="s">
        <v>1308</v>
      </c>
      <c r="D73" s="1146"/>
      <c r="E73" s="1146"/>
      <c r="F73" s="1146"/>
      <c r="G73" s="776"/>
      <c r="H73" s="776"/>
      <c r="I73" s="776"/>
      <c r="J73" s="776"/>
      <c r="K73" s="792"/>
      <c r="L73" s="63">
        <v>173</v>
      </c>
      <c r="M73"/>
      <c r="N73"/>
      <c r="O73"/>
      <c r="P73"/>
    </row>
    <row r="74" spans="1:16" ht="12" customHeight="1">
      <c r="B74" s="758" t="s">
        <v>22</v>
      </c>
      <c r="C74" s="1844" t="s">
        <v>1309</v>
      </c>
      <c r="D74" s="1845"/>
      <c r="E74" s="1845"/>
      <c r="F74" s="1845"/>
      <c r="G74" s="772"/>
      <c r="H74" s="772"/>
      <c r="I74" s="772"/>
      <c r="J74" s="772"/>
      <c r="K74" s="794"/>
      <c r="L74" s="66"/>
      <c r="M74"/>
      <c r="N74"/>
      <c r="O74"/>
      <c r="P74"/>
    </row>
    <row r="75" spans="1:16" ht="12" customHeight="1">
      <c r="B75" s="758" t="s">
        <v>40</v>
      </c>
      <c r="C75" s="1196" t="s">
        <v>1310</v>
      </c>
      <c r="D75" s="1146"/>
      <c r="E75" s="1146"/>
      <c r="F75" s="1146"/>
      <c r="G75" s="776"/>
      <c r="H75" s="776"/>
      <c r="I75" s="776"/>
      <c r="J75" s="776"/>
      <c r="K75" s="792"/>
      <c r="L75" s="65"/>
      <c r="M75"/>
      <c r="N75"/>
      <c r="O75"/>
      <c r="P75"/>
    </row>
    <row r="76" spans="1:16" ht="12" customHeight="1">
      <c r="B76" s="758" t="s">
        <v>98</v>
      </c>
      <c r="C76" s="771" t="s">
        <v>1311</v>
      </c>
      <c r="D76" s="798"/>
      <c r="E76" s="798"/>
      <c r="F76" s="798"/>
      <c r="G76" s="798"/>
      <c r="H76" s="798"/>
      <c r="I76" s="798"/>
      <c r="J76" s="798"/>
      <c r="K76" s="794"/>
      <c r="L76" s="61"/>
      <c r="M76"/>
      <c r="N76"/>
      <c r="O76"/>
      <c r="P76"/>
    </row>
    <row r="77" spans="1:16" ht="12" customHeight="1">
      <c r="B77" s="207" t="s">
        <v>99</v>
      </c>
      <c r="C77" s="1196" t="s">
        <v>1312</v>
      </c>
      <c r="D77" s="1146"/>
      <c r="E77" s="1146"/>
      <c r="F77" s="1146"/>
      <c r="G77" s="776"/>
      <c r="H77" s="776"/>
      <c r="I77" s="776"/>
      <c r="J77" s="776"/>
      <c r="K77" s="792"/>
      <c r="L77" s="63"/>
      <c r="M77"/>
      <c r="N77"/>
      <c r="O77"/>
      <c r="P77"/>
    </row>
    <row r="78" spans="1:16" ht="14.25" customHeight="1">
      <c r="B78" s="207"/>
      <c r="K78" s="1267"/>
      <c r="L78" s="778"/>
      <c r="M78"/>
      <c r="N78"/>
      <c r="O78"/>
      <c r="P78"/>
    </row>
    <row r="79" spans="1:16" ht="21.75" customHeight="1">
      <c r="A79" s="1140" t="s">
        <v>456</v>
      </c>
      <c r="C79" s="310"/>
    </row>
    <row r="80" spans="1:16">
      <c r="B80" s="758" t="s">
        <v>6</v>
      </c>
      <c r="C80" s="96" t="s">
        <v>457</v>
      </c>
    </row>
    <row r="81" spans="2:27">
      <c r="B81" s="800"/>
      <c r="C81" s="801" t="s">
        <v>377</v>
      </c>
      <c r="D81" s="802" t="s">
        <v>429</v>
      </c>
      <c r="E81" s="772"/>
      <c r="F81" s="772"/>
      <c r="G81" s="772"/>
      <c r="H81" s="772"/>
      <c r="I81" s="794"/>
      <c r="J81" s="803"/>
      <c r="K81" s="797"/>
      <c r="L81" s="66"/>
      <c r="M81" s="177"/>
      <c r="N81" s="804"/>
    </row>
    <row r="82" spans="2:27">
      <c r="B82" s="800"/>
      <c r="C82" s="96" t="s">
        <v>378</v>
      </c>
      <c r="D82" s="805" t="s">
        <v>430</v>
      </c>
      <c r="E82" s="776"/>
      <c r="F82" s="776"/>
      <c r="G82" s="776"/>
      <c r="H82" s="776"/>
      <c r="I82" s="792"/>
      <c r="J82" s="806"/>
      <c r="K82" s="807"/>
      <c r="L82" s="67"/>
      <c r="M82" s="177"/>
      <c r="N82" s="804"/>
    </row>
    <row r="83" spans="2:27">
      <c r="B83" s="800"/>
      <c r="C83" s="96" t="s">
        <v>379</v>
      </c>
      <c r="D83" s="808" t="s">
        <v>431</v>
      </c>
      <c r="E83" s="772"/>
      <c r="F83" s="772"/>
      <c r="G83" s="772"/>
      <c r="H83" s="772"/>
      <c r="I83" s="794"/>
      <c r="J83" s="803"/>
      <c r="K83" s="797"/>
      <c r="L83" s="68"/>
      <c r="M83" s="177"/>
      <c r="N83" s="804"/>
    </row>
    <row r="84" spans="2:27" hidden="1">
      <c r="L84" s="15"/>
    </row>
    <row r="85" spans="2:27" hidden="1">
      <c r="L85" s="15"/>
    </row>
    <row r="86" spans="2:27" ht="13.5" customHeight="1">
      <c r="B86" s="758" t="s">
        <v>8</v>
      </c>
      <c r="C86" s="1062" t="s">
        <v>458</v>
      </c>
      <c r="D86" s="823"/>
      <c r="E86" s="823"/>
      <c r="F86" s="823"/>
      <c r="G86" s="823"/>
      <c r="H86" s="823"/>
      <c r="I86" s="823"/>
      <c r="J86" s="776"/>
      <c r="K86" s="807"/>
      <c r="L86" s="65"/>
    </row>
    <row r="87" spans="2:27">
      <c r="B87" s="758" t="s">
        <v>22</v>
      </c>
      <c r="C87" s="802" t="s">
        <v>459</v>
      </c>
      <c r="D87" s="809"/>
      <c r="E87" s="809"/>
      <c r="F87" s="809"/>
      <c r="G87" s="809"/>
      <c r="H87" s="809"/>
      <c r="I87" s="809"/>
      <c r="J87" s="772"/>
      <c r="K87" s="797"/>
      <c r="L87" s="66"/>
      <c r="N87" s="804"/>
    </row>
    <row r="88" spans="2:27">
      <c r="B88" s="1444" t="s">
        <v>40</v>
      </c>
      <c r="C88" s="1194" t="s">
        <v>1156</v>
      </c>
      <c r="D88" s="1195"/>
      <c r="E88" s="1195"/>
      <c r="F88" s="776"/>
      <c r="G88" s="776"/>
      <c r="H88" s="776"/>
      <c r="I88" s="776"/>
      <c r="J88" s="776"/>
      <c r="K88" s="792"/>
      <c r="L88" s="1072"/>
      <c r="N88" s="804"/>
    </row>
    <row r="89" spans="2:27">
      <c r="B89" s="1444" t="s">
        <v>98</v>
      </c>
      <c r="C89" s="1840" t="s">
        <v>1157</v>
      </c>
      <c r="D89" s="1840"/>
      <c r="E89" s="1840"/>
      <c r="F89" s="1840"/>
      <c r="G89" s="1840"/>
      <c r="H89" s="1840"/>
      <c r="I89" s="1840"/>
      <c r="J89" s="1840"/>
      <c r="K89" s="1840"/>
      <c r="L89" s="66"/>
      <c r="N89" s="804"/>
    </row>
    <row r="90" spans="2:27">
      <c r="B90" s="758" t="s">
        <v>99</v>
      </c>
      <c r="C90" s="1841" t="s">
        <v>1158</v>
      </c>
      <c r="D90" s="1842"/>
      <c r="E90" s="1842"/>
      <c r="F90" s="1842"/>
      <c r="G90" s="1842"/>
      <c r="H90" s="1842"/>
      <c r="I90" s="1842"/>
      <c r="J90" s="1842"/>
      <c r="K90" s="1843"/>
      <c r="L90" s="1073"/>
      <c r="N90" s="804"/>
      <c r="AA90" s="1075" t="str">
        <f>IF((AND(L90&lt;&gt;"",C90="Other BSL Adjustment 1")),"Yes","")</f>
        <v/>
      </c>
    </row>
    <row r="91" spans="2:27">
      <c r="B91" s="758" t="s">
        <v>100</v>
      </c>
      <c r="C91" s="1823" t="s">
        <v>1159</v>
      </c>
      <c r="D91" s="1824"/>
      <c r="E91" s="1824"/>
      <c r="F91" s="1824"/>
      <c r="G91" s="1824"/>
      <c r="H91" s="1824"/>
      <c r="I91" s="1824"/>
      <c r="J91" s="1824"/>
      <c r="K91" s="1824"/>
      <c r="L91" s="66"/>
      <c r="N91" s="804"/>
      <c r="AA91" s="96" t="str">
        <f>IF((AND(L91&lt;&gt;"",C91="Other BSL Adjustment 2")),"Yes","")</f>
        <v/>
      </c>
    </row>
    <row r="92" spans="2:27">
      <c r="B92" s="810"/>
      <c r="C92" s="3"/>
      <c r="D92" s="3"/>
      <c r="E92" s="3"/>
      <c r="F92" s="3"/>
      <c r="G92" s="3"/>
      <c r="H92" s="3"/>
      <c r="I92" s="3"/>
      <c r="K92" s="1267"/>
      <c r="M92" s="175"/>
      <c r="N92" s="804"/>
    </row>
    <row r="93" spans="2:27" ht="15.75" customHeight="1">
      <c r="B93" s="1141" t="s">
        <v>460</v>
      </c>
      <c r="C93" s="119"/>
      <c r="D93" s="119"/>
      <c r="E93" s="119"/>
      <c r="F93" s="119"/>
      <c r="J93" s="1267"/>
      <c r="K93" s="1267"/>
      <c r="L93" s="804"/>
      <c r="M93" s="175"/>
      <c r="N93" s="804"/>
    </row>
    <row r="94" spans="2:27">
      <c r="B94" s="1257" t="s">
        <v>102</v>
      </c>
      <c r="C94" s="1194" t="s">
        <v>1313</v>
      </c>
      <c r="D94" s="1195"/>
      <c r="E94" s="1195"/>
      <c r="F94" s="776"/>
      <c r="G94" s="776"/>
      <c r="H94" s="776"/>
      <c r="I94" s="776"/>
      <c r="J94" s="776"/>
      <c r="K94" s="792"/>
      <c r="L94" s="86">
        <v>49503630</v>
      </c>
      <c r="M94" s="175"/>
      <c r="N94" s="804"/>
    </row>
    <row r="95" spans="2:27" ht="14.4">
      <c r="B95" s="1444" t="s">
        <v>103</v>
      </c>
      <c r="C95" s="793" t="s">
        <v>1314</v>
      </c>
      <c r="D95" s="772"/>
      <c r="E95" s="772"/>
      <c r="F95" s="772"/>
      <c r="G95" s="772"/>
      <c r="H95" s="772"/>
      <c r="I95" s="772"/>
      <c r="J95" s="772"/>
      <c r="K95" s="794"/>
      <c r="L95" s="87"/>
      <c r="M95" s="1831" t="str">
        <f>IF(AND(_PAV2&gt;0,P95&lt;&gt;"X"),"If the amount shown for Primary Assessed Valuation 2 (AV2) on page 6 of the District's most recent BSA 55-1 report from ADE is greater than 0, mark X in cell P95.","")</f>
        <v/>
      </c>
      <c r="N95" s="1832"/>
      <c r="O95" s="1832"/>
      <c r="P95" s="302"/>
      <c r="Q95" s="812"/>
      <c r="R95" s="812"/>
      <c r="S95" s="812"/>
      <c r="T95" s="812"/>
      <c r="U95" s="812"/>
      <c r="V95" s="812"/>
      <c r="W95" s="812"/>
      <c r="X95" s="812"/>
      <c r="Y95" s="812"/>
      <c r="Z95" s="812"/>
      <c r="AA95" s="812"/>
    </row>
    <row r="96" spans="2:27">
      <c r="B96" s="1257" t="s">
        <v>104</v>
      </c>
      <c r="C96" s="1194" t="s">
        <v>1315</v>
      </c>
      <c r="D96" s="1195"/>
      <c r="E96" s="1195"/>
      <c r="F96" s="1195"/>
      <c r="G96" s="776"/>
      <c r="H96" s="776"/>
      <c r="I96" s="776"/>
      <c r="J96" s="776"/>
      <c r="K96" s="792"/>
      <c r="L96" s="86">
        <v>1157464</v>
      </c>
      <c r="M96" s="1831"/>
      <c r="N96" s="1832"/>
      <c r="O96" s="1832"/>
    </row>
    <row r="97" spans="2:15">
      <c r="B97" s="1257" t="s">
        <v>105</v>
      </c>
      <c r="C97" s="793" t="s">
        <v>1316</v>
      </c>
      <c r="D97" s="772"/>
      <c r="E97" s="772"/>
      <c r="F97" s="772"/>
      <c r="G97" s="772"/>
      <c r="H97" s="772"/>
      <c r="I97" s="772"/>
      <c r="J97" s="772"/>
      <c r="K97" s="794"/>
      <c r="L97" s="87"/>
      <c r="M97" s="1831"/>
      <c r="N97" s="1832"/>
      <c r="O97" s="1832"/>
    </row>
    <row r="98" spans="2:15" ht="12" customHeight="1">
      <c r="B98" s="207"/>
      <c r="K98" s="1267"/>
      <c r="L98" s="1269"/>
      <c r="M98" s="175"/>
      <c r="N98" s="804"/>
    </row>
    <row r="99" spans="2:15" ht="15.75" customHeight="1">
      <c r="B99" s="1141" t="s">
        <v>461</v>
      </c>
      <c r="C99" s="119"/>
      <c r="D99" s="119"/>
      <c r="E99" s="119"/>
      <c r="F99" s="119"/>
      <c r="G99" s="119"/>
      <c r="K99" s="1267"/>
      <c r="L99" s="1269"/>
      <c r="M99" s="175"/>
      <c r="N99" s="804"/>
    </row>
    <row r="100" spans="2:15">
      <c r="B100" s="1444" t="s">
        <v>106</v>
      </c>
      <c r="C100" s="1194" t="s">
        <v>1317</v>
      </c>
      <c r="D100" s="1195"/>
      <c r="E100" s="1195"/>
      <c r="F100" s="776"/>
      <c r="G100" s="776"/>
      <c r="H100" s="776"/>
      <c r="I100" s="776"/>
      <c r="J100" s="776"/>
      <c r="K100" s="792"/>
      <c r="L100" s="65"/>
      <c r="M100" s="175"/>
      <c r="N100" s="804"/>
    </row>
    <row r="101" spans="2:15">
      <c r="B101" s="1444" t="s">
        <v>107</v>
      </c>
      <c r="C101" s="793" t="s">
        <v>1275</v>
      </c>
      <c r="D101" s="772"/>
      <c r="E101" s="772"/>
      <c r="F101" s="772"/>
      <c r="G101" s="772"/>
      <c r="H101" s="772"/>
      <c r="I101" s="772"/>
      <c r="J101" s="772"/>
      <c r="K101" s="797"/>
      <c r="L101" s="66">
        <f>3227761+242930</f>
        <v>3470691</v>
      </c>
      <c r="M101" s="175"/>
      <c r="N101" s="804"/>
    </row>
    <row r="102" spans="2:15">
      <c r="B102" s="1257" t="s">
        <v>108</v>
      </c>
      <c r="C102" s="1194" t="s">
        <v>1318</v>
      </c>
      <c r="D102" s="1195"/>
      <c r="E102" s="1195"/>
      <c r="F102" s="1195"/>
      <c r="G102" s="776"/>
      <c r="H102" s="776"/>
      <c r="I102" s="776"/>
      <c r="J102" s="776"/>
      <c r="K102" s="792"/>
      <c r="L102" s="1372"/>
      <c r="M102" s="175"/>
      <c r="N102" s="804"/>
    </row>
    <row r="103" spans="2:15">
      <c r="C103" s="1267" t="s">
        <v>377</v>
      </c>
      <c r="D103" s="871" t="s">
        <v>1160</v>
      </c>
      <c r="E103" s="334"/>
      <c r="F103" s="334"/>
      <c r="G103" s="334"/>
      <c r="H103" s="334"/>
      <c r="I103" s="334"/>
      <c r="J103" s="334"/>
      <c r="K103" s="1371"/>
      <c r="L103" s="68"/>
      <c r="M103" s="177"/>
      <c r="N103" s="804"/>
    </row>
    <row r="104" spans="2:15">
      <c r="C104" s="1267" t="s">
        <v>378</v>
      </c>
      <c r="D104" s="791" t="s">
        <v>462</v>
      </c>
      <c r="E104" s="776"/>
      <c r="F104" s="776"/>
      <c r="G104" s="776"/>
      <c r="H104" s="776"/>
      <c r="I104" s="776"/>
      <c r="J104" s="776"/>
      <c r="K104" s="792"/>
      <c r="L104" s="65"/>
      <c r="M104" s="177"/>
      <c r="N104" s="804"/>
    </row>
    <row r="105" spans="2:15">
      <c r="B105" s="207"/>
      <c r="C105" s="191" t="s">
        <v>379</v>
      </c>
      <c r="D105" s="791" t="s">
        <v>463</v>
      </c>
      <c r="E105" s="776"/>
      <c r="F105" s="776"/>
      <c r="G105" s="776"/>
      <c r="H105" s="776"/>
      <c r="I105" s="776"/>
      <c r="J105" s="776"/>
      <c r="K105" s="792"/>
      <c r="L105" s="65"/>
      <c r="M105" s="177"/>
      <c r="N105" s="804"/>
    </row>
    <row r="106" spans="2:15">
      <c r="B106" s="207"/>
      <c r="C106" s="191" t="s">
        <v>464</v>
      </c>
      <c r="D106" s="793" t="s">
        <v>1161</v>
      </c>
      <c r="E106" s="772"/>
      <c r="F106" s="772"/>
      <c r="G106" s="772"/>
      <c r="H106" s="772"/>
      <c r="I106" s="772"/>
      <c r="J106" s="772"/>
      <c r="K106" s="794"/>
      <c r="L106" s="66"/>
      <c r="M106" s="177"/>
      <c r="N106" s="804"/>
    </row>
    <row r="107" spans="2:15">
      <c r="B107" s="207"/>
      <c r="C107" s="1444" t="s">
        <v>499</v>
      </c>
      <c r="D107" s="814" t="s">
        <v>465</v>
      </c>
      <c r="E107" s="815"/>
      <c r="F107" s="815"/>
      <c r="G107" s="815"/>
      <c r="H107" s="815"/>
      <c r="I107" s="815"/>
      <c r="J107" s="815"/>
      <c r="K107" s="816"/>
      <c r="L107" s="78"/>
      <c r="M107" s="177"/>
      <c r="N107" s="804"/>
    </row>
    <row r="108" spans="2:15">
      <c r="B108" s="1257" t="s">
        <v>109</v>
      </c>
      <c r="C108" s="793" t="s">
        <v>1162</v>
      </c>
      <c r="D108" s="772"/>
      <c r="E108" s="772"/>
      <c r="F108" s="772"/>
      <c r="G108" s="772"/>
      <c r="H108" s="772"/>
      <c r="I108" s="772"/>
      <c r="J108" s="772"/>
      <c r="K108" s="794"/>
      <c r="L108" s="66"/>
      <c r="M108" s="175"/>
      <c r="N108" s="804"/>
    </row>
    <row r="109" spans="2:15" ht="12.75" customHeight="1">
      <c r="B109" s="207"/>
      <c r="K109" s="1267"/>
      <c r="L109" s="804"/>
      <c r="M109" s="175"/>
      <c r="N109" s="804"/>
    </row>
    <row r="110" spans="2:15" ht="15.75" customHeight="1">
      <c r="B110" s="817" t="s">
        <v>1163</v>
      </c>
      <c r="C110" s="119"/>
      <c r="D110" s="119"/>
      <c r="E110" s="119"/>
      <c r="F110" s="119"/>
      <c r="G110" s="119"/>
      <c r="H110" s="119"/>
      <c r="K110" s="1267"/>
      <c r="L110" s="804"/>
      <c r="M110" s="175"/>
      <c r="N110" s="804"/>
    </row>
    <row r="111" spans="2:15">
      <c r="B111" s="1444" t="s">
        <v>110</v>
      </c>
      <c r="C111" s="1194" t="s">
        <v>1282</v>
      </c>
      <c r="D111" s="1195"/>
      <c r="E111" s="1195"/>
      <c r="F111" s="776"/>
      <c r="G111" s="776"/>
      <c r="H111" s="776"/>
      <c r="I111" s="776"/>
      <c r="J111" s="776"/>
      <c r="K111" s="807"/>
      <c r="L111" s="65">
        <v>145352</v>
      </c>
      <c r="M111" s="175"/>
      <c r="N111" s="804"/>
    </row>
    <row r="112" spans="2:15" ht="11.25" customHeight="1">
      <c r="B112" s="1257" t="s">
        <v>111</v>
      </c>
      <c r="C112" s="793" t="s">
        <v>1283</v>
      </c>
      <c r="D112" s="772"/>
      <c r="E112" s="772"/>
      <c r="F112" s="772"/>
      <c r="G112" s="772"/>
      <c r="H112" s="772"/>
      <c r="I112" s="772"/>
      <c r="J112" s="772"/>
      <c r="K112" s="1145"/>
      <c r="L112" s="66"/>
      <c r="M112" s="175"/>
      <c r="N112" s="804"/>
    </row>
    <row r="113" spans="2:17" ht="11.25" customHeight="1">
      <c r="B113" s="1444" t="s">
        <v>112</v>
      </c>
      <c r="C113" s="1196" t="s">
        <v>1319</v>
      </c>
      <c r="D113" s="1146"/>
      <c r="E113" s="1146"/>
      <c r="F113" s="1146"/>
      <c r="G113" s="1146"/>
      <c r="H113" s="1146"/>
      <c r="I113" s="1146"/>
      <c r="J113" s="1146"/>
      <c r="K113" s="807"/>
      <c r="L113" s="65"/>
      <c r="M113" s="175"/>
      <c r="O113" s="804" t="s">
        <v>466</v>
      </c>
      <c r="Q113" s="795">
        <f>Calculations!O121</f>
        <v>548255.48</v>
      </c>
    </row>
    <row r="114" spans="2:17" ht="11.25" customHeight="1">
      <c r="B114" s="1444" t="s">
        <v>113</v>
      </c>
      <c r="C114" s="771" t="s">
        <v>1285</v>
      </c>
      <c r="D114" s="798"/>
      <c r="E114" s="798"/>
      <c r="F114" s="798"/>
      <c r="G114" s="798"/>
      <c r="H114" s="798"/>
      <c r="I114" s="798"/>
      <c r="J114" s="798"/>
      <c r="K114" s="797"/>
      <c r="L114" s="66"/>
      <c r="M114" s="175"/>
      <c r="N114" s="804"/>
    </row>
    <row r="115" spans="2:17" ht="11.25" customHeight="1">
      <c r="B115" s="1257" t="s">
        <v>114</v>
      </c>
      <c r="C115" s="1194" t="s">
        <v>1286</v>
      </c>
      <c r="D115" s="1311"/>
      <c r="E115" s="1311"/>
      <c r="F115" s="819"/>
      <c r="G115" s="819"/>
      <c r="H115" s="819"/>
      <c r="I115" s="819"/>
      <c r="J115" s="819"/>
      <c r="K115" s="807"/>
      <c r="L115" s="65">
        <v>811504</v>
      </c>
      <c r="M115" s="175"/>
      <c r="N115" s="804"/>
    </row>
    <row r="116" spans="2:17" ht="11.25" customHeight="1">
      <c r="B116" s="1074"/>
      <c r="D116" s="1305"/>
      <c r="E116" s="1305"/>
      <c r="F116" s="1305"/>
      <c r="G116" s="1305"/>
      <c r="H116" s="1305"/>
      <c r="I116" s="1305"/>
      <c r="J116" s="1305"/>
      <c r="K116" s="1267"/>
      <c r="L116" s="804"/>
      <c r="M116" s="175"/>
      <c r="N116" s="804"/>
    </row>
    <row r="117" spans="2:17" s="119" customFormat="1" ht="15.75" customHeight="1" thickBot="1">
      <c r="B117" s="817" t="s">
        <v>467</v>
      </c>
      <c r="D117" s="1272"/>
      <c r="E117" s="1272"/>
      <c r="F117" s="1272"/>
      <c r="G117" s="1272"/>
      <c r="H117" s="1272"/>
      <c r="I117" s="1272"/>
      <c r="J117" s="1272"/>
      <c r="K117" s="820"/>
      <c r="L117" s="821"/>
      <c r="M117" s="822"/>
      <c r="N117" s="821"/>
    </row>
    <row r="118" spans="2:17" ht="11.25" customHeight="1" thickBot="1">
      <c r="B118" s="1444" t="s">
        <v>115</v>
      </c>
      <c r="C118" s="60"/>
      <c r="D118" s="1305"/>
      <c r="E118" s="1668" t="s">
        <v>899</v>
      </c>
      <c r="F118" s="1668"/>
      <c r="G118" s="1668"/>
      <c r="H118" s="1668"/>
      <c r="I118" s="1668"/>
      <c r="J118" s="1668"/>
      <c r="K118" s="1835" t="str">
        <f>IF(AND(SSAPhaseDownCheckbox="X",SSAFYExceeded=""),"COMPLETE LINE 22 BELOW"," ")</f>
        <v xml:space="preserve"> </v>
      </c>
      <c r="L118" s="1835"/>
      <c r="M118" s="175"/>
      <c r="N118" s="804"/>
    </row>
    <row r="119" spans="2:17" ht="24" customHeight="1">
      <c r="B119" s="1445"/>
      <c r="C119" s="1350"/>
      <c r="D119" s="1305"/>
      <c r="E119" s="1668"/>
      <c r="F119" s="1668"/>
      <c r="G119" s="1668"/>
      <c r="H119" s="1668"/>
      <c r="I119" s="1668"/>
      <c r="J119" s="1668"/>
      <c r="K119" s="1835"/>
      <c r="L119" s="1835"/>
      <c r="M119" s="175"/>
      <c r="N119" s="804"/>
    </row>
    <row r="120" spans="2:17" ht="11.25" customHeight="1">
      <c r="B120" s="1074"/>
      <c r="D120" s="1305"/>
      <c r="E120" s="3"/>
      <c r="F120" s="1305"/>
      <c r="G120" s="1305"/>
      <c r="H120" s="1305"/>
      <c r="I120" s="1305"/>
      <c r="J120" s="1305"/>
      <c r="K120" s="1267"/>
      <c r="L120" s="804"/>
      <c r="M120" s="175"/>
      <c r="N120" s="804"/>
    </row>
    <row r="121" spans="2:17" ht="11.25" customHeight="1">
      <c r="B121" s="1444" t="s">
        <v>116</v>
      </c>
      <c r="C121" s="1833" t="s">
        <v>468</v>
      </c>
      <c r="D121" s="1834"/>
      <c r="E121" s="1834"/>
      <c r="F121" s="1834"/>
      <c r="G121" s="1834"/>
      <c r="H121" s="1834"/>
      <c r="I121" s="1834"/>
      <c r="J121" s="1834"/>
      <c r="K121" s="797" t="s">
        <v>3</v>
      </c>
      <c r="L121" s="75"/>
      <c r="M121" s="175"/>
      <c r="N121" s="804"/>
    </row>
    <row r="122" spans="2:17" ht="23.25" customHeight="1">
      <c r="B122" s="784" t="s">
        <v>117</v>
      </c>
      <c r="C122" s="1829" t="s">
        <v>469</v>
      </c>
      <c r="D122" s="1830"/>
      <c r="E122" s="1830"/>
      <c r="F122" s="1830"/>
      <c r="G122" s="1830"/>
      <c r="H122" s="1830"/>
      <c r="I122" s="1830"/>
      <c r="J122" s="1830"/>
      <c r="K122" s="807"/>
      <c r="L122" s="67"/>
      <c r="M122" s="175"/>
      <c r="N122" s="804"/>
    </row>
    <row r="123" spans="2:17" ht="11.25" customHeight="1">
      <c r="B123" s="811"/>
      <c r="C123" s="1305"/>
      <c r="D123" s="1305"/>
      <c r="E123" s="1305"/>
      <c r="F123" s="1305"/>
      <c r="G123" s="1305"/>
      <c r="H123" s="1305"/>
      <c r="I123" s="1305"/>
      <c r="J123" s="1305"/>
      <c r="K123" s="1267"/>
      <c r="L123" s="804"/>
      <c r="M123" s="175"/>
      <c r="N123" s="804"/>
    </row>
    <row r="124" spans="2:17" ht="15.75" customHeight="1">
      <c r="B124" s="817" t="s">
        <v>470</v>
      </c>
      <c r="C124" s="1305"/>
      <c r="D124" s="1305"/>
      <c r="E124" s="1305"/>
      <c r="F124" s="1305"/>
      <c r="G124" s="1305"/>
      <c r="H124" s="1305"/>
      <c r="I124" s="1305"/>
      <c r="J124" s="1305"/>
      <c r="K124" s="1267"/>
      <c r="L124" s="804"/>
      <c r="M124" s="175"/>
      <c r="N124" s="804"/>
    </row>
    <row r="125" spans="2:17" ht="36" customHeight="1">
      <c r="B125" s="817"/>
      <c r="C125" s="1668" t="s">
        <v>471</v>
      </c>
      <c r="D125" s="1838"/>
      <c r="E125" s="1838"/>
      <c r="F125" s="1838"/>
      <c r="G125" s="1838"/>
      <c r="H125" s="1838"/>
      <c r="I125" s="1838"/>
      <c r="J125" s="1838"/>
      <c r="K125" s="1267"/>
      <c r="L125" s="804"/>
      <c r="M125" s="175"/>
      <c r="N125" s="804"/>
    </row>
    <row r="126" spans="2:17" ht="10.5" customHeight="1">
      <c r="B126" s="817"/>
      <c r="C126" s="1305"/>
      <c r="D126" s="1305"/>
      <c r="E126" s="1305"/>
      <c r="F126" s="1305"/>
      <c r="G126" s="1305"/>
      <c r="H126" s="1305"/>
      <c r="I126" s="1305"/>
      <c r="J126" s="1305"/>
      <c r="K126" s="1267"/>
      <c r="L126" s="804"/>
      <c r="M126" s="175"/>
      <c r="N126" s="804"/>
    </row>
    <row r="127" spans="2:17" ht="11.25" customHeight="1">
      <c r="B127" s="1257" t="s">
        <v>119</v>
      </c>
      <c r="C127" s="793" t="s">
        <v>472</v>
      </c>
      <c r="D127" s="818"/>
      <c r="E127" s="809"/>
      <c r="F127" s="818"/>
      <c r="G127" s="818"/>
      <c r="H127" s="818"/>
      <c r="I127" s="818"/>
      <c r="J127" s="818"/>
      <c r="K127" s="797" t="s">
        <v>3</v>
      </c>
      <c r="L127" s="76"/>
      <c r="M127" s="175"/>
      <c r="N127" s="804"/>
    </row>
    <row r="128" spans="2:17" ht="11.25" customHeight="1">
      <c r="B128" s="1257" t="s">
        <v>120</v>
      </c>
      <c r="C128" s="791" t="s">
        <v>473</v>
      </c>
      <c r="D128" s="819"/>
      <c r="E128" s="823"/>
      <c r="F128" s="819"/>
      <c r="G128" s="819"/>
      <c r="H128" s="819"/>
      <c r="I128" s="819"/>
      <c r="J128" s="819"/>
      <c r="K128" s="807"/>
      <c r="L128" s="63"/>
      <c r="M128" s="175"/>
      <c r="N128" s="804"/>
    </row>
    <row r="129" spans="1:15" ht="23.25" customHeight="1">
      <c r="B129" s="1257" t="s">
        <v>122</v>
      </c>
      <c r="C129" s="1833" t="s">
        <v>474</v>
      </c>
      <c r="D129" s="1834"/>
      <c r="E129" s="1834"/>
      <c r="F129" s="1834"/>
      <c r="G129" s="1834"/>
      <c r="H129" s="1834"/>
      <c r="I129" s="1834"/>
      <c r="J129" s="1834"/>
      <c r="K129" s="797"/>
      <c r="L129" s="77"/>
      <c r="M129" s="175"/>
      <c r="N129" s="804"/>
    </row>
    <row r="130" spans="1:15" ht="11.25" customHeight="1">
      <c r="B130" s="1257" t="s">
        <v>123</v>
      </c>
      <c r="C130" s="791" t="s">
        <v>475</v>
      </c>
      <c r="D130" s="819"/>
      <c r="E130" s="823"/>
      <c r="F130" s="819"/>
      <c r="G130" s="819"/>
      <c r="H130" s="819"/>
      <c r="I130" s="819"/>
      <c r="J130" s="819"/>
      <c r="K130" s="807"/>
      <c r="L130" s="65"/>
      <c r="M130" s="175"/>
      <c r="N130" s="804"/>
    </row>
    <row r="131" spans="1:15" ht="11.25" customHeight="1" thickBot="1">
      <c r="B131" s="1257" t="s">
        <v>124</v>
      </c>
      <c r="C131" s="793" t="s">
        <v>476</v>
      </c>
      <c r="D131" s="818"/>
      <c r="E131" s="809"/>
      <c r="F131" s="818"/>
      <c r="G131" s="818"/>
      <c r="H131" s="818"/>
      <c r="I131" s="818"/>
      <c r="J131" s="818"/>
      <c r="K131" s="797"/>
      <c r="L131" s="66"/>
      <c r="M131" s="175"/>
      <c r="N131" s="804"/>
    </row>
    <row r="132" spans="1:15" ht="4.5" hidden="1" customHeight="1" thickBot="1">
      <c r="B132" s="784"/>
      <c r="D132" s="1305"/>
      <c r="E132" s="3"/>
      <c r="F132" s="1305"/>
      <c r="G132" s="1305"/>
      <c r="H132" s="1305"/>
      <c r="I132" s="1305"/>
      <c r="J132" s="1305"/>
      <c r="K132" s="1267"/>
      <c r="L132" s="804"/>
      <c r="M132" s="175"/>
      <c r="N132" s="804"/>
    </row>
    <row r="133" spans="1:15" ht="11.25" customHeight="1" thickBot="1">
      <c r="B133" s="1260" t="s">
        <v>125</v>
      </c>
      <c r="C133" s="60"/>
      <c r="D133" s="1305"/>
      <c r="E133" s="1836" t="s">
        <v>477</v>
      </c>
      <c r="F133" s="1836"/>
      <c r="G133" s="1836"/>
      <c r="H133" s="1836"/>
      <c r="I133" s="1836"/>
      <c r="J133" s="825"/>
      <c r="K133" s="813"/>
      <c r="L133" s="826"/>
      <c r="M133" s="175"/>
      <c r="N133" s="804"/>
    </row>
    <row r="134" spans="1:15" ht="15.75" customHeight="1">
      <c r="B134" s="199"/>
      <c r="D134" s="1305"/>
      <c r="E134" s="1837"/>
      <c r="F134" s="1837"/>
      <c r="G134" s="1837"/>
      <c r="H134" s="1837"/>
      <c r="I134" s="1837"/>
      <c r="J134" s="825"/>
      <c r="K134" s="813"/>
      <c r="L134" s="826"/>
      <c r="M134" s="175"/>
      <c r="N134" s="804"/>
    </row>
    <row r="135" spans="1:15" ht="11.25" customHeight="1">
      <c r="B135" s="1257" t="s">
        <v>126</v>
      </c>
      <c r="C135" s="793" t="s">
        <v>1164</v>
      </c>
      <c r="D135" s="818"/>
      <c r="E135" s="809"/>
      <c r="F135" s="818"/>
      <c r="G135" s="818"/>
      <c r="H135" s="818"/>
      <c r="I135" s="818"/>
      <c r="J135" s="818"/>
      <c r="K135" s="797"/>
      <c r="L135" s="77"/>
      <c r="M135" s="175"/>
      <c r="N135" s="804"/>
    </row>
    <row r="136" spans="1:15" ht="11.25" customHeight="1">
      <c r="B136" s="1257" t="s">
        <v>248</v>
      </c>
      <c r="C136" s="791" t="s">
        <v>1165</v>
      </c>
      <c r="D136" s="819"/>
      <c r="E136" s="823"/>
      <c r="F136" s="819"/>
      <c r="G136" s="819"/>
      <c r="H136" s="819"/>
      <c r="I136" s="819"/>
      <c r="J136" s="819"/>
      <c r="K136" s="807"/>
      <c r="L136" s="62"/>
      <c r="M136" s="175"/>
      <c r="N136" s="804"/>
    </row>
    <row r="137" spans="1:15" ht="11.25" customHeight="1">
      <c r="B137" s="811"/>
      <c r="D137" s="1305"/>
      <c r="E137" s="3"/>
      <c r="F137" s="1305"/>
      <c r="G137" s="1305"/>
      <c r="H137" s="1305"/>
      <c r="I137" s="1305"/>
      <c r="J137" s="1305"/>
      <c r="K137" s="1267"/>
      <c r="L137" s="804"/>
      <c r="M137" s="175"/>
      <c r="N137" s="804"/>
    </row>
    <row r="138" spans="1:15" ht="21.75" customHeight="1">
      <c r="A138" s="1140" t="s">
        <v>478</v>
      </c>
    </row>
    <row r="139" spans="1:15" ht="24" customHeight="1">
      <c r="B139" s="811" t="s">
        <v>6</v>
      </c>
      <c r="C139" s="1833" t="s">
        <v>479</v>
      </c>
      <c r="D139" s="1834"/>
      <c r="E139" s="1834"/>
      <c r="F139" s="1834"/>
      <c r="G139" s="1834"/>
      <c r="H139" s="1834"/>
      <c r="I139" s="1834"/>
      <c r="J139" s="1834"/>
      <c r="K139" s="1839"/>
      <c r="L139" s="81"/>
      <c r="O139" s="1295"/>
    </row>
    <row r="141" spans="1:15" ht="21.75" customHeight="1" thickBot="1">
      <c r="A141" s="1140" t="s">
        <v>480</v>
      </c>
      <c r="C141" s="310"/>
    </row>
    <row r="142" spans="1:15" ht="12" customHeight="1" thickBot="1">
      <c r="A142" s="310"/>
      <c r="B142" s="758" t="s">
        <v>6</v>
      </c>
      <c r="C142" s="60"/>
      <c r="E142" s="119" t="s">
        <v>481</v>
      </c>
    </row>
    <row r="143" spans="1:15" ht="34.5" customHeight="1">
      <c r="A143" s="310"/>
      <c r="B143" s="827"/>
      <c r="C143" s="1825" t="s">
        <v>482</v>
      </c>
      <c r="D143" s="1825"/>
      <c r="E143" s="1825"/>
      <c r="F143" s="1825"/>
      <c r="G143" s="1825"/>
      <c r="H143" s="1825"/>
      <c r="I143" s="1825"/>
      <c r="J143" s="1825"/>
      <c r="K143" s="1825"/>
    </row>
    <row r="144" spans="1:15" ht="12" customHeight="1">
      <c r="A144" s="310"/>
      <c r="B144" s="758" t="s">
        <v>8</v>
      </c>
      <c r="C144" s="1194" t="s">
        <v>1320</v>
      </c>
      <c r="D144" s="1195"/>
      <c r="E144" s="1146"/>
      <c r="F144" s="1195"/>
      <c r="G144" s="1195"/>
      <c r="H144" s="776"/>
      <c r="I144" s="776"/>
      <c r="J144" s="776"/>
      <c r="K144" s="807"/>
      <c r="L144" s="1494"/>
    </row>
    <row r="145" spans="2:12">
      <c r="B145" s="411" t="s">
        <v>22</v>
      </c>
      <c r="C145" s="793" t="s">
        <v>1280</v>
      </c>
      <c r="D145" s="772"/>
      <c r="E145" s="772"/>
      <c r="F145" s="772"/>
      <c r="G145" s="772"/>
      <c r="H145" s="772"/>
      <c r="I145" s="772"/>
      <c r="J145" s="772"/>
      <c r="K145" s="797"/>
      <c r="L145" s="68"/>
    </row>
    <row r="146" spans="2:12">
      <c r="B146" s="207" t="s">
        <v>40</v>
      </c>
      <c r="C146" s="1194" t="s">
        <v>1281</v>
      </c>
      <c r="D146" s="1195"/>
      <c r="E146" s="1195"/>
      <c r="F146" s="1195"/>
      <c r="G146" s="1195"/>
      <c r="H146" s="1195"/>
      <c r="I146" s="776"/>
      <c r="J146" s="776"/>
      <c r="K146" s="807" t="s">
        <v>274</v>
      </c>
      <c r="L146" s="65"/>
    </row>
  </sheetData>
  <sheetProtection sheet="1" formatCells="0" formatColumns="0" formatRows="0"/>
  <mergeCells count="37">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3:E3"/>
    <mergeCell ref="C6:H6"/>
    <mergeCell ref="C7:H7"/>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count="14">
    <dataValidation type="list" allowBlank="1" showInputMessage="1" showErrorMessage="1" sqref="P27 C59:D59 C63 P95 C118 C133 C142" xr:uid="{00000000-0002-0000-0E00-000000000000}">
      <formula1>"X"</formula1>
    </dataValidation>
    <dataValidation allowBlank="1" showInputMessage="1" showErrorMessage="1" prompt="If negative, enter amount in parentheses." sqref="L100:L101 L103:L107" xr:uid="{00000000-0002-0000-0E00-000001000000}"/>
    <dataValidation type="whole" allowBlank="1" showInputMessage="1" showErrorMessage="1" errorTitle="Check date entry" error="Fiscal Year must be entered as a four-digit number." prompt="Enter a four-digit fiscal year." sqref="L121 L127" xr:uid="{00000000-0002-0000-0E00-000002000000}">
      <formula1>1912</formula1>
      <formula2>2100</formula2>
    </dataValidation>
    <dataValidation allowBlank="1" sqref="L108:L109 L144" xr:uid="{00000000-0002-0000-0E00-000003000000}"/>
    <dataValidation allowBlank="1" showInputMessage="1" showErrorMessage="1" prompt="Enter the FULL assessed valuation." sqref="L96:L98" xr:uid="{00000000-0002-0000-0E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E00-000005000000}"/>
    <dataValidation allowBlank="1" showInputMessage="1" showErrorMessage="1" prompt="Enter the full NET assessed valuation." sqref="L94" xr:uid="{00000000-0002-0000-0E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E00-000007000000}">
      <formula1>L86&lt;0</formula1>
    </dataValidation>
    <dataValidation type="list" allowBlank="1" showInputMessage="1" showErrorMessage="1" sqref="D15" xr:uid="{00000000-0002-0000-0E00-000008000000}">
      <formula1>$M$1:$Q$1</formula1>
    </dataValidation>
    <dataValidation type="list" allowBlank="1" showInputMessage="1" showErrorMessage="1" sqref="G22" xr:uid="{00000000-0002-0000-0E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E00-00000A000000}"/>
    <dataValidation allowBlank="1" promptTitle="District's home page web address" prompt="Please include www. when entering the web address of the district's home page." sqref="I21" xr:uid="{00000000-0002-0000-0E00-00000B000000}"/>
    <dataValidation type="list" showInputMessage="1" showErrorMessage="1" error="Please select a vendor from the drop down list." sqref="G16:H16" xr:uid="{00000000-0002-0000-0E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E00-00000D000000}">
      <formula1>$O$12:$O$15</formula1>
    </dataValidation>
  </dataValidations>
  <hyperlinks>
    <hyperlink ref="B42" location="DataEntryUSCSCAl7" display="'9." xr:uid="{00000000-0004-0000-0E00-000000000000}"/>
    <hyperlink ref="B59" location="DataEntryOtherBSLBRCLAdjl1" display="'1." xr:uid="{00000000-0004-0000-0E00-000001000000}"/>
    <hyperlink ref="B63" location="DataEntryOtherBSLBRCLAdjl3" display="'2." xr:uid="{00000000-0004-0000-0E00-000002000000}"/>
    <hyperlink ref="B66" location="DataEntryOtherBSLBRCLAdjl5" display="'4." xr:uid="{00000000-0004-0000-0E00-000003000000}"/>
    <hyperlink ref="B67" location="DataEntryOtherBSLBRCLAdjl6" display="'5." xr:uid="{00000000-0004-0000-0E00-000004000000}"/>
    <hyperlink ref="B74:B75" location="DataEntryTransl3" display="'3." xr:uid="{00000000-0004-0000-0E00-000005000000}"/>
    <hyperlink ref="B76" location="DataEntryTransl5" display="'5." xr:uid="{00000000-0004-0000-0E00-000006000000}"/>
    <hyperlink ref="B80" location="DataEntryOtherInfol1" display="'1." xr:uid="{00000000-0004-0000-0E00-000007000000}"/>
    <hyperlink ref="B100" location="DataEntryOtherInfol12" display="'12." xr:uid="{00000000-0004-0000-0E00-000008000000}"/>
    <hyperlink ref="B101" location="DataEntryOtherInfol13" display="'13." xr:uid="{00000000-0004-0000-0E00-000009000000}"/>
    <hyperlink ref="C107" location="DataEntryOtherInfol14e" display="'e." xr:uid="{00000000-0004-0000-0E00-00000A000000}"/>
    <hyperlink ref="B144" location="DataEntryType01Infol2" display="'2." xr:uid="{00000000-0004-0000-0E00-00000B000000}"/>
    <hyperlink ref="B87" location="DataEntryOtherInfol3" display="'3." xr:uid="{00000000-0004-0000-0E00-00000C000000}"/>
    <hyperlink ref="B111" location="DataEntryOtherInfol16" display="'16." xr:uid="{00000000-0004-0000-0E00-00000D000000}"/>
    <hyperlink ref="B113" location="DataEntryOtherInfol18" display="'18." xr:uid="{00000000-0004-0000-0E00-00000E000000}"/>
    <hyperlink ref="B114" location="DataEntryOtherInfol19" display="'19." xr:uid="{00000000-0004-0000-0E00-00000F000000}"/>
    <hyperlink ref="B118" location="DataEntryOtherInfol21" display="'21." xr:uid="{00000000-0004-0000-0E00-000010000000}"/>
    <hyperlink ref="B121" location="DataEntryOtherInfol22" display="'22." xr:uid="{00000000-0004-0000-0E00-000011000000}"/>
    <hyperlink ref="B28" location="DataEntryUSCl1" display="'1." xr:uid="{00000000-0004-0000-0E00-000012000000}"/>
    <hyperlink ref="B29" location="DataEntryUSCl2" display="'2. " xr:uid="{00000000-0004-0000-0E00-000013000000}"/>
    <hyperlink ref="B31:B33" location="DataEntryUSCl345" display="'3." xr:uid="{00000000-0004-0000-0E00-000014000000}"/>
    <hyperlink ref="B37:E37" location="DataEntryUSCSCAl720" display="Student count by category" xr:uid="{00000000-0004-0000-0E00-000015000000}"/>
    <hyperlink ref="B44" location="DataEntryUSCSCAl11" display="'11." xr:uid="{00000000-0004-0000-0E00-000016000000}"/>
    <hyperlink ref="B45" location="DataEntryUSCSCAl12" display="'12." xr:uid="{00000000-0004-0000-0E00-000017000000}"/>
    <hyperlink ref="B50" location="DataEntryUSCSCAl17" display="'17." xr:uid="{00000000-0004-0000-0E00-000018000000}"/>
    <hyperlink ref="B65" location="DataEntryOtherBSLBRCLAdjl4" display="'3." xr:uid="{00000000-0004-0000-0E00-000019000000}"/>
    <hyperlink ref="B68" location="DataEntryOtherBSLBRCLAdjl7" display="'6." xr:uid="{00000000-0004-0000-0E00-00001A000000}"/>
    <hyperlink ref="B72:B73" location="DataEntryTransl1" display="'1." xr:uid="{00000000-0004-0000-0E00-00001B000000}"/>
    <hyperlink ref="B40" location="DataEntryUSCSCAl9" display="'7." xr:uid="{00000000-0004-0000-0E00-00001C000000}"/>
    <hyperlink ref="B43" location="DataEntryUSCSCAl10" display="'10." xr:uid="{00000000-0004-0000-0E00-00001D000000}"/>
    <hyperlink ref="B46" location="DataEntryUSCSCAl13" display="'13." xr:uid="{00000000-0004-0000-0E00-00001E000000}"/>
    <hyperlink ref="B47" location="DataEntryUSCSCAl14" display="'14." xr:uid="{00000000-0004-0000-0E00-00001F000000}"/>
    <hyperlink ref="B48" location="DataEntryUSCSCAl15" display="'15." xr:uid="{00000000-0004-0000-0E00-000020000000}"/>
    <hyperlink ref="B49" location="DataEntryUSCSCAl16" display="'16." xr:uid="{00000000-0004-0000-0E00-000021000000}"/>
    <hyperlink ref="B51" location="DataEntryUSCSCAl18" display="'18." xr:uid="{00000000-0004-0000-0E00-000022000000}"/>
    <hyperlink ref="B52" location="DataEntryUSCSCAl19" display="'19." xr:uid="{00000000-0004-0000-0E00-000023000000}"/>
    <hyperlink ref="B53" location="DataEntryUSCSCAl20" display="'20." xr:uid="{00000000-0004-0000-0E00-000024000000}"/>
    <hyperlink ref="B142" location="DataEntryType01Infol1" display="'1." xr:uid="{00000000-0004-0000-0E00-000025000000}"/>
    <hyperlink ref="B41" location="DataEntryUSCSCAl7" display="'8." xr:uid="{00000000-0004-0000-0E00-000026000000}"/>
    <hyperlink ref="C81" location="DataEntryOtherInfol1Continued" display="a." xr:uid="{00000000-0004-0000-0E00-000027000000}"/>
    <hyperlink ref="B86" location="DataEntryOtherInfol2" display="'2." xr:uid="{00000000-0004-0000-0E00-000028000000}"/>
    <hyperlink ref="B55" location="DataEntryUSCSCAl21" display="'22." xr:uid="{00000000-0004-0000-0E00-000029000000}"/>
    <hyperlink ref="B54" location="DataEntryUSCSCAl23" display="'21." xr:uid="{00000000-0004-0000-0E00-00002A000000}"/>
    <hyperlink ref="B88" location="DataEntryOtherInfol4" display="'4." xr:uid="{00000000-0004-0000-0E00-00002B000000}"/>
    <hyperlink ref="B89" location="DataEntryOtherInfol5" display="'5." xr:uid="{00000000-0004-0000-0E00-00002C000000}"/>
    <hyperlink ref="B90" location="DataEntryOtherInfol6" display="'6." xr:uid="{00000000-0004-0000-0E00-00002D000000}"/>
    <hyperlink ref="B91" location="DataEntryOtherInfol7" display="'7." xr:uid="{00000000-0004-0000-0E00-00002E000000}"/>
    <hyperlink ref="B95" location="DataEntryOtherInfol9" display="'9." xr:uid="{00000000-0004-0000-0E00-00002F000000}"/>
    <hyperlink ref="B22:E22" location="UCOFundType" display="UCO Fund type" xr:uid="{00000000-0004-0000-0E00-000030000000}"/>
    <hyperlink ref="G15:H15" location="DistrictSystems" display="SELECT from dropdown" xr:uid="{00000000-0004-0000-0E00-000031000000}"/>
    <hyperlink ref="C3" location="DataEntryGeneral" display="Instructions" xr:uid="{00000000-0004-0000-0E00-000032000000}"/>
  </hyperlinks>
  <printOptions horizontalCentered="1"/>
  <pageMargins left="0.25" right="0.25" top="0.25" bottom="0.25" header="0" footer="0.15"/>
  <pageSetup paperSize="5" scale="59" fitToWidth="2" fitToHeight="2" orientation="portrait" r:id="rId1"/>
  <headerFooter alignWithMargins="0">
    <oddFooter>&amp;L&amp;"Times New Roman,Bold"&amp;9Rev. 5/26&amp;K000000 Arizona Department of Education and Auditor General&amp;C&amp;"Times New Roman,Regular"&amp;9&amp;D  &amp;T</oddFooter>
  </headerFooter>
  <rowBreaks count="1" manualBreakCount="1">
    <brk id="98" max="1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G239"/>
  <sheetViews>
    <sheetView showGridLines="0" topLeftCell="A28" zoomScaleSheetLayoutView="100" workbookViewId="0">
      <selection activeCell="O38" sqref="O38:O39"/>
    </sheetView>
  </sheetViews>
  <sheetFormatPr defaultColWidth="9" defaultRowHeight="12"/>
  <cols>
    <col min="1" max="1" width="2.453125" style="96" bestFit="1" customWidth="1"/>
    <col min="2" max="2" width="2" style="96" customWidth="1"/>
    <col min="3" max="3" width="2.81640625" style="96" customWidth="1"/>
    <col min="4" max="4" width="2" style="96" customWidth="1"/>
    <col min="5" max="5" width="6.453125" style="96" customWidth="1"/>
    <col min="6" max="6" width="10.81640625" style="96" customWidth="1"/>
    <col min="7" max="7" width="9" style="96" customWidth="1"/>
    <col min="8" max="8" width="9.81640625" style="96" customWidth="1"/>
    <col min="9" max="9" width="9" style="96" customWidth="1"/>
    <col min="10" max="10" width="7" style="96" customWidth="1"/>
    <col min="11" max="11" width="1" style="96" customWidth="1"/>
    <col min="12" max="12" width="9" style="96" customWidth="1"/>
    <col min="13" max="14" width="1" style="96" customWidth="1"/>
    <col min="15" max="15" width="9.81640625" style="96" customWidth="1"/>
    <col min="16" max="17" width="1" style="96" customWidth="1"/>
    <col min="18" max="18" width="10" style="96" customWidth="1"/>
    <col min="19" max="19" width="9" style="96" customWidth="1"/>
    <col min="20" max="20" width="6" style="96" customWidth="1"/>
    <col min="21" max="22" width="9" style="96" customWidth="1"/>
    <col min="23" max="23" width="6" style="96" customWidth="1"/>
    <col min="24" max="24" width="10" style="96" customWidth="1"/>
    <col min="25" max="25" width="9.81640625" style="96" bestFit="1" customWidth="1"/>
    <col min="26" max="26" width="9" style="96" customWidth="1"/>
    <col min="27" max="27" width="6" style="96" customWidth="1"/>
    <col min="28" max="30" width="9" style="96" customWidth="1"/>
    <col min="31" max="31" width="6" style="96" customWidth="1"/>
    <col min="32" max="37" width="9" style="96" customWidth="1"/>
    <col min="38" max="16384" width="9" style="96"/>
  </cols>
  <sheetData>
    <row r="1" spans="1:17" ht="15.75" customHeight="1">
      <c r="A1" s="1819" t="s">
        <v>56</v>
      </c>
      <c r="B1" s="1819"/>
      <c r="C1" s="1819"/>
      <c r="D1" s="1819"/>
      <c r="E1" s="1820" t="str">
        <f>Cover!C1</f>
        <v>Stanfield Elementary School District</v>
      </c>
      <c r="F1" s="1820"/>
      <c r="G1" s="1820"/>
      <c r="H1" s="1309" t="s">
        <v>1</v>
      </c>
      <c r="I1" s="1820" t="str">
        <f>Cover!H1</f>
        <v>Pinal</v>
      </c>
      <c r="J1" s="1820"/>
      <c r="K1" s="1820"/>
      <c r="L1" s="1819" t="s">
        <v>57</v>
      </c>
      <c r="M1" s="1819"/>
      <c r="N1" s="1819"/>
      <c r="O1" s="1314" t="str">
        <f>CTD</f>
        <v>110424000</v>
      </c>
      <c r="P1" s="210"/>
      <c r="Q1" s="210"/>
    </row>
    <row r="2" spans="1:17">
      <c r="N2" s="1309" t="s">
        <v>16</v>
      </c>
      <c r="O2" s="1314" t="str">
        <f>Cover!C8</f>
        <v>Proposed</v>
      </c>
    </row>
    <row r="3" spans="1:17" ht="1.5" customHeight="1">
      <c r="N3" s="1309"/>
      <c r="O3" s="828"/>
    </row>
    <row r="4" spans="1:17" ht="15.75" customHeight="1">
      <c r="A4" s="1571" t="s">
        <v>692</v>
      </c>
      <c r="B4" s="1571"/>
      <c r="C4" s="1571"/>
      <c r="D4" s="1571"/>
      <c r="E4" s="1571"/>
      <c r="F4" s="1810" t="s">
        <v>483</v>
      </c>
      <c r="G4" s="1810"/>
      <c r="H4" s="1810"/>
      <c r="I4" s="1810"/>
      <c r="N4" s="1309"/>
      <c r="O4" s="828"/>
    </row>
    <row r="5" spans="1:17" ht="2.25" customHeight="1">
      <c r="N5" s="1309"/>
      <c r="O5" s="828"/>
    </row>
    <row r="6" spans="1:17" ht="8.25" hidden="1" customHeight="1">
      <c r="N6" s="1309"/>
      <c r="O6" s="828"/>
    </row>
    <row r="7" spans="1:17" ht="14.25" customHeight="1"/>
    <row r="8" spans="1:17" ht="15.6">
      <c r="A8" s="829" t="s">
        <v>1166</v>
      </c>
      <c r="B8" s="310"/>
      <c r="C8" s="310"/>
      <c r="D8" s="310"/>
      <c r="E8" s="310"/>
      <c r="F8" s="310"/>
      <c r="G8" s="310"/>
      <c r="I8" s="1143"/>
    </row>
    <row r="9" spans="1:17" ht="15.75" customHeight="1">
      <c r="A9" s="310"/>
      <c r="B9" s="310"/>
      <c r="C9" s="310"/>
      <c r="D9" s="310"/>
      <c r="E9" s="310"/>
      <c r="F9" s="310"/>
      <c r="G9" s="1144"/>
      <c r="H9" s="1862" t="s">
        <v>484</v>
      </c>
      <c r="I9" s="1863"/>
      <c r="J9" s="1862" t="s">
        <v>485</v>
      </c>
      <c r="K9" s="1866"/>
      <c r="L9" s="1863"/>
      <c r="M9" s="830"/>
    </row>
    <row r="10" spans="1:17" ht="15.6">
      <c r="B10" s="97"/>
      <c r="C10" s="310"/>
      <c r="E10" s="310"/>
      <c r="F10" s="310"/>
      <c r="G10" s="1144"/>
      <c r="H10" s="1864"/>
      <c r="I10" s="1865"/>
      <c r="J10" s="1864"/>
      <c r="K10" s="1867"/>
      <c r="L10" s="1865"/>
      <c r="M10" s="830"/>
    </row>
    <row r="11" spans="1:17" ht="15.75" customHeight="1">
      <c r="A11" s="334"/>
      <c r="B11" s="334"/>
      <c r="C11" s="334"/>
      <c r="D11" s="334"/>
      <c r="E11" s="334"/>
      <c r="F11" s="334"/>
      <c r="G11" s="831"/>
      <c r="H11" s="1313" t="s">
        <v>430</v>
      </c>
      <c r="I11" s="832" t="s">
        <v>431</v>
      </c>
      <c r="J11" s="1870" t="s">
        <v>430</v>
      </c>
      <c r="K11" s="1871"/>
      <c r="L11" s="832" t="s">
        <v>431</v>
      </c>
      <c r="M11" s="833"/>
    </row>
    <row r="12" spans="1:17">
      <c r="A12" s="834" t="s">
        <v>1167</v>
      </c>
      <c r="B12" s="324"/>
      <c r="C12" s="324"/>
      <c r="D12" s="324"/>
      <c r="E12" s="324"/>
      <c r="F12" s="324"/>
      <c r="G12" s="835"/>
      <c r="H12" s="836"/>
      <c r="I12" s="836"/>
      <c r="J12" s="1872"/>
      <c r="K12" s="1873"/>
      <c r="L12" s="836"/>
      <c r="M12" s="783"/>
    </row>
    <row r="13" spans="1:17" ht="12.6" thickBot="1">
      <c r="A13" s="837"/>
      <c r="B13" s="838" t="s">
        <v>1047</v>
      </c>
      <c r="C13" s="838"/>
      <c r="D13" s="838"/>
      <c r="E13" s="838"/>
      <c r="F13" s="838"/>
      <c r="G13" s="839"/>
      <c r="H13" s="840">
        <v>1.5589999999999999</v>
      </c>
      <c r="I13" s="840">
        <v>1.669</v>
      </c>
      <c r="J13" s="1874">
        <v>1.399</v>
      </c>
      <c r="K13" s="1875"/>
      <c r="L13" s="840">
        <v>1.5589999999999999</v>
      </c>
      <c r="M13" s="783"/>
    </row>
    <row r="14" spans="1:17">
      <c r="A14" s="783" t="s">
        <v>1048</v>
      </c>
      <c r="H14" s="1315"/>
      <c r="I14" s="841"/>
      <c r="J14" s="1852"/>
      <c r="K14" s="1853"/>
      <c r="L14" s="842"/>
    </row>
    <row r="15" spans="1:17">
      <c r="A15" s="783"/>
      <c r="B15" s="96" t="s">
        <v>529</v>
      </c>
      <c r="H15" s="1317">
        <v>500</v>
      </c>
      <c r="I15" s="843">
        <v>500</v>
      </c>
      <c r="J15" s="1876">
        <v>500</v>
      </c>
      <c r="K15" s="1877"/>
      <c r="L15" s="844">
        <v>500</v>
      </c>
      <c r="M15" s="845"/>
    </row>
    <row r="16" spans="1:17">
      <c r="A16" s="783"/>
      <c r="B16" s="96" t="s">
        <v>1049</v>
      </c>
      <c r="G16" s="1267" t="s">
        <v>487</v>
      </c>
      <c r="H16" s="846">
        <f>IF(AND(UnweightedStudCntK8CY&gt;=100,UnweightedStudCntK8CY&lt;500,SmallIsolatedPSD8Checkbox="X"),UnweightedStudCntK8CY,0)</f>
        <v>0</v>
      </c>
      <c r="I16" s="846">
        <f>IF(AND(UnweightedStudCnt912CY&gt;=100,UnweightedStudCnt912CY&lt;500,SmallIsolated912Checkbox="X"),UnweightedStudCnt912CY,0)</f>
        <v>0</v>
      </c>
      <c r="J16" s="1846">
        <f>IF(AND(UnweightedStudCntK8CY&gt;=100,UnweightedStudCntK8CY&lt;500,SmallIsolatedPSD8Checkbox&lt;&gt;"X"),UnweightedStudCntK8CY,0)</f>
        <v>335</v>
      </c>
      <c r="K16" s="1847"/>
      <c r="L16" s="847">
        <f>IF(AND(UnweightedStudCnt912CY&gt;=100,UnweightedStudCnt912CY&lt;500,SmallIsolated912Checkbox&lt;&gt;"X"),UnweightedStudCnt912CY,0)</f>
        <v>0</v>
      </c>
      <c r="M16" s="845"/>
    </row>
    <row r="17" spans="1:13">
      <c r="A17" s="783"/>
      <c r="B17" s="96" t="s">
        <v>488</v>
      </c>
      <c r="G17" s="1267" t="s">
        <v>489</v>
      </c>
      <c r="H17" s="846">
        <f>IF(H16&gt;0,H15-H16,0)</f>
        <v>0</v>
      </c>
      <c r="I17" s="846">
        <f>IF(I16&gt;0,I15-I16,0)</f>
        <v>0</v>
      </c>
      <c r="J17" s="1846">
        <f>IF(J16&gt;0,J15-J16,0)</f>
        <v>165</v>
      </c>
      <c r="K17" s="1847"/>
      <c r="L17" s="844">
        <f>IF(L16&gt;0,L15-L16,0)</f>
        <v>0</v>
      </c>
      <c r="M17" s="845"/>
    </row>
    <row r="18" spans="1:13">
      <c r="A18" s="783"/>
      <c r="B18" s="96" t="s">
        <v>532</v>
      </c>
      <c r="G18" s="1267" t="s">
        <v>490</v>
      </c>
      <c r="H18" s="846">
        <v>5.0000000000000001E-4</v>
      </c>
      <c r="I18" s="846">
        <v>5.0000000000000001E-4</v>
      </c>
      <c r="J18" s="1846">
        <v>2.9999999999999997E-4</v>
      </c>
      <c r="K18" s="1847"/>
      <c r="L18" s="843">
        <v>4.0000000000000002E-4</v>
      </c>
      <c r="M18" s="744"/>
    </row>
    <row r="19" spans="1:13">
      <c r="A19" s="783"/>
      <c r="B19" s="96" t="s">
        <v>534</v>
      </c>
      <c r="G19" s="1267" t="s">
        <v>489</v>
      </c>
      <c r="H19" s="846">
        <f>H17*H18</f>
        <v>0</v>
      </c>
      <c r="I19" s="846">
        <f>I17*I18</f>
        <v>0</v>
      </c>
      <c r="J19" s="1846">
        <f>J17*J18</f>
        <v>4.9500000000000002E-2</v>
      </c>
      <c r="K19" s="1847"/>
      <c r="L19" s="847">
        <f>L17*L18</f>
        <v>0</v>
      </c>
      <c r="M19" s="845"/>
    </row>
    <row r="20" spans="1:13">
      <c r="A20" s="783"/>
      <c r="B20" s="96" t="s">
        <v>1047</v>
      </c>
      <c r="G20" s="1267" t="s">
        <v>491</v>
      </c>
      <c r="H20" s="848">
        <v>1.3580000000000001</v>
      </c>
      <c r="I20" s="848">
        <v>1.468</v>
      </c>
      <c r="J20" s="1868">
        <v>1.278</v>
      </c>
      <c r="K20" s="1869"/>
      <c r="L20" s="849">
        <v>1.3979999999999999</v>
      </c>
      <c r="M20" s="845"/>
    </row>
    <row r="21" spans="1:13" ht="12.6" thickBot="1">
      <c r="A21" s="783"/>
      <c r="C21" s="96" t="s">
        <v>1050</v>
      </c>
      <c r="G21" s="1267" t="s">
        <v>489</v>
      </c>
      <c r="H21" s="850">
        <f>IF(H16&gt;0,H19+H20,0)</f>
        <v>0</v>
      </c>
      <c r="I21" s="850">
        <f>IF(I16&gt;0,I19+I20,0)</f>
        <v>0</v>
      </c>
      <c r="J21" s="1850">
        <f>IF(J16&gt;0,J19+J20,0)</f>
        <v>1.3274999999999999</v>
      </c>
      <c r="K21" s="1851"/>
      <c r="L21" s="851">
        <f>IF(L16&gt;0,L19+L20,0)</f>
        <v>0</v>
      </c>
      <c r="M21" s="845"/>
    </row>
    <row r="22" spans="1:13">
      <c r="A22" s="783" t="s">
        <v>1051</v>
      </c>
      <c r="H22" s="1315"/>
      <c r="I22" s="841"/>
      <c r="J22" s="1852"/>
      <c r="K22" s="1853"/>
      <c r="L22" s="842"/>
    </row>
    <row r="23" spans="1:13">
      <c r="A23" s="783"/>
      <c r="B23" s="96" t="s">
        <v>529</v>
      </c>
      <c r="H23" s="1318">
        <v>600</v>
      </c>
      <c r="I23" s="852">
        <v>600</v>
      </c>
      <c r="J23" s="1854">
        <v>600</v>
      </c>
      <c r="K23" s="1855"/>
      <c r="L23" s="853">
        <v>600</v>
      </c>
      <c r="M23" s="845"/>
    </row>
    <row r="24" spans="1:13">
      <c r="A24" s="783"/>
      <c r="B24" s="96" t="s">
        <v>1052</v>
      </c>
      <c r="G24" s="1267" t="s">
        <v>487</v>
      </c>
      <c r="H24" s="761">
        <f>IF(AND(UnweightedStudCntK8CY&gt;=500,UnweightedStudCntK8CY&lt;600,SmallIsolatedPSD8Checkbox="X"),UnweightedStudCntK8CY,0)</f>
        <v>0</v>
      </c>
      <c r="I24" s="761">
        <f>IF(AND(UnweightedStudCnt912CY&gt;=500,UnweightedStudCnt912CY&lt;600,SmallIsolated912Checkbox="X"),UnweightedStudCnt912CY,0)</f>
        <v>0</v>
      </c>
      <c r="J24" s="1854">
        <f>IF(AND(UnweightedStudCntK8CY&gt;=500,UnweightedStudCntK8CY&lt;600,SmallIsolatedPSD8Checkbox&lt;&gt;"X"),UnweightedStudCntK8CY,0)</f>
        <v>0</v>
      </c>
      <c r="K24" s="1855"/>
      <c r="L24" s="762">
        <f>IF(AND(UnweightedStudCnt912CY&gt;=500,UnweightedStudCnt912CY&lt;600,SmallIsolated912Checkbox&lt;&gt;"X"),UnweightedStudCnt912CY,0)</f>
        <v>0</v>
      </c>
      <c r="M24" s="845"/>
    </row>
    <row r="25" spans="1:13">
      <c r="A25" s="783"/>
      <c r="B25" s="96" t="s">
        <v>488</v>
      </c>
      <c r="G25" s="1267" t="s">
        <v>489</v>
      </c>
      <c r="H25" s="761">
        <f>IF(H24&gt;0,H23-H24,0)</f>
        <v>0</v>
      </c>
      <c r="I25" s="761">
        <f>IF(I24&gt;0,I23-I24,0)</f>
        <v>0</v>
      </c>
      <c r="J25" s="1854">
        <f>IF(J24&gt;0,J23-J24,0)</f>
        <v>0</v>
      </c>
      <c r="K25" s="1855"/>
      <c r="L25" s="762">
        <f>IF(L24&gt;0,L23-L24,0)</f>
        <v>0</v>
      </c>
      <c r="M25" s="845"/>
    </row>
    <row r="26" spans="1:13">
      <c r="A26" s="783"/>
      <c r="B26" s="96" t="s">
        <v>532</v>
      </c>
      <c r="G26" s="1267" t="s">
        <v>490</v>
      </c>
      <c r="H26" s="761">
        <v>2E-3</v>
      </c>
      <c r="I26" s="761">
        <v>2E-3</v>
      </c>
      <c r="J26" s="1854">
        <v>1.1999999999999999E-3</v>
      </c>
      <c r="K26" s="1855"/>
      <c r="L26" s="762">
        <v>1.2999999999999999E-3</v>
      </c>
      <c r="M26" s="744"/>
    </row>
    <row r="27" spans="1:13">
      <c r="A27" s="783"/>
      <c r="B27" s="96" t="s">
        <v>534</v>
      </c>
      <c r="G27" s="1267" t="s">
        <v>489</v>
      </c>
      <c r="H27" s="761">
        <f>H25*H26</f>
        <v>0</v>
      </c>
      <c r="I27" s="761">
        <f>I25*I26</f>
        <v>0</v>
      </c>
      <c r="J27" s="1854">
        <f>J25*J26</f>
        <v>0</v>
      </c>
      <c r="K27" s="1855"/>
      <c r="L27" s="762">
        <f>L25*L26</f>
        <v>0</v>
      </c>
      <c r="M27" s="845"/>
    </row>
    <row r="28" spans="1:13">
      <c r="A28" s="783"/>
      <c r="B28" s="96" t="s">
        <v>1047</v>
      </c>
      <c r="G28" s="1267" t="s">
        <v>491</v>
      </c>
      <c r="H28" s="848">
        <v>1.1579999999999999</v>
      </c>
      <c r="I28" s="848">
        <v>1.268</v>
      </c>
      <c r="J28" s="1868">
        <v>1.1579999999999999</v>
      </c>
      <c r="K28" s="1869"/>
      <c r="L28" s="849">
        <v>1.268</v>
      </c>
      <c r="M28" s="845"/>
    </row>
    <row r="29" spans="1:13" ht="12.6" thickBot="1">
      <c r="A29" s="783"/>
      <c r="C29" s="96" t="s">
        <v>1050</v>
      </c>
      <c r="G29" s="1316" t="s">
        <v>489</v>
      </c>
      <c r="H29" s="850">
        <f>IF(H24&gt;0,H27+H28,0)</f>
        <v>0</v>
      </c>
      <c r="I29" s="850">
        <f>IF(I24&gt;0,I27+I28,0)</f>
        <v>0</v>
      </c>
      <c r="J29" s="1850">
        <f>IF(J24&gt;0,J27+J28,0)</f>
        <v>0</v>
      </c>
      <c r="K29" s="1851"/>
      <c r="L29" s="851">
        <f>IF(L24&gt;0,L27+L28,0)</f>
        <v>0</v>
      </c>
      <c r="M29" s="845"/>
    </row>
    <row r="30" spans="1:13">
      <c r="A30" s="783" t="s">
        <v>1053</v>
      </c>
      <c r="H30" s="854"/>
      <c r="I30" s="855"/>
      <c r="J30" s="1630"/>
      <c r="K30" s="1853"/>
      <c r="L30" s="842"/>
    </row>
    <row r="31" spans="1:13" ht="12.6" thickBot="1">
      <c r="A31" s="856"/>
      <c r="B31" s="857" t="s">
        <v>1047</v>
      </c>
      <c r="C31" s="857"/>
      <c r="D31" s="857"/>
      <c r="E31" s="857"/>
      <c r="F31" s="857"/>
      <c r="G31" s="857"/>
      <c r="H31" s="858"/>
      <c r="I31" s="859"/>
      <c r="J31" s="1878">
        <v>1.1579999999999999</v>
      </c>
      <c r="K31" s="1879"/>
      <c r="L31" s="860">
        <v>1.268</v>
      </c>
      <c r="M31" s="845"/>
    </row>
    <row r="32" spans="1:13">
      <c r="A32" s="783" t="s">
        <v>1168</v>
      </c>
      <c r="H32" s="861"/>
      <c r="I32" s="855"/>
      <c r="J32" s="1848"/>
      <c r="K32" s="1849"/>
      <c r="L32" s="842"/>
    </row>
    <row r="33" spans="1:22" ht="12.6" thickBot="1">
      <c r="A33" s="856"/>
      <c r="B33" s="857" t="s">
        <v>1169</v>
      </c>
      <c r="C33" s="857"/>
      <c r="D33" s="857"/>
      <c r="E33" s="857"/>
      <c r="F33" s="857"/>
      <c r="G33" s="857"/>
      <c r="H33" s="858"/>
      <c r="I33" s="859"/>
      <c r="J33" s="1856"/>
      <c r="K33" s="1857"/>
      <c r="L33" s="860">
        <v>1.339</v>
      </c>
      <c r="M33" s="845"/>
      <c r="T33" s="1588" t="s">
        <v>1170</v>
      </c>
      <c r="U33" s="1588"/>
      <c r="V33" s="1588"/>
    </row>
    <row r="34" spans="1:22">
      <c r="U34" s="756" t="s">
        <v>436</v>
      </c>
      <c r="V34" s="756" t="s">
        <v>492</v>
      </c>
    </row>
    <row r="35" spans="1:22">
      <c r="B35" s="207"/>
      <c r="C35" s="3"/>
      <c r="D35" s="3"/>
      <c r="E35" s="3"/>
      <c r="F35" s="3"/>
      <c r="G35" s="777"/>
      <c r="H35" s="777"/>
      <c r="I35" s="777"/>
      <c r="L35" s="862"/>
      <c r="O35" s="863"/>
      <c r="P35" s="863"/>
      <c r="Q35" s="863"/>
      <c r="R35" s="863"/>
      <c r="S35" s="863"/>
      <c r="T35" s="96" t="s">
        <v>493</v>
      </c>
      <c r="U35" s="762">
        <f>NonAOIStudCntK3*K3SLW</f>
        <v>7.6003999999999996</v>
      </c>
      <c r="V35" s="762">
        <f>NonAOIStudCntK3R*K3RSLW</f>
        <v>5.0669000000000004</v>
      </c>
    </row>
    <row r="36" spans="1:22" ht="12" customHeight="1">
      <c r="T36" s="96" t="s">
        <v>494</v>
      </c>
      <c r="U36" s="762">
        <f>AOIFTStudCntK3*K3SLW*AOIFTFundFactor</f>
        <v>0</v>
      </c>
      <c r="V36" s="762">
        <f>AOIFTStudCntK3R*K3RSLW*AOIFTFundFactor</f>
        <v>0</v>
      </c>
    </row>
    <row r="37" spans="1:22" ht="14.25" customHeight="1">
      <c r="A37" s="829" t="s">
        <v>495</v>
      </c>
      <c r="T37" s="96" t="s">
        <v>496</v>
      </c>
      <c r="U37" s="762">
        <f>AOIPTStudCntK3*K3SLW*AOIPTFundFactor</f>
        <v>0</v>
      </c>
      <c r="V37" s="762">
        <f>AOIPTStudCntK3R*K3RSLW*AOIPTFundFactor</f>
        <v>0</v>
      </c>
    </row>
    <row r="38" spans="1:22">
      <c r="B38" s="207" t="s">
        <v>6</v>
      </c>
      <c r="C38" s="96" t="s">
        <v>1054</v>
      </c>
      <c r="L38" s="96" t="s">
        <v>436</v>
      </c>
      <c r="N38" s="864" t="s">
        <v>274</v>
      </c>
      <c r="O38" s="865">
        <f>ROUND(U38*BSA55BLA*BSA55TEI,2)</f>
        <v>40920.49</v>
      </c>
      <c r="T38" s="96" t="s">
        <v>360</v>
      </c>
      <c r="U38" s="762">
        <f>U35+U36+U37</f>
        <v>7.6003999999999996</v>
      </c>
      <c r="V38" s="762">
        <f>V35+V36+V37</f>
        <v>5.0669000000000004</v>
      </c>
    </row>
    <row r="39" spans="1:22">
      <c r="B39" s="207"/>
      <c r="L39" s="96" t="s">
        <v>435</v>
      </c>
      <c r="N39" s="864" t="s">
        <v>274</v>
      </c>
      <c r="O39" s="865">
        <f>ROUND(V38*BSA55BLA*BSA55TEI,2)</f>
        <v>27280.15</v>
      </c>
      <c r="T39" s="1633" t="s">
        <v>497</v>
      </c>
      <c r="U39" s="1633"/>
      <c r="V39" s="1633"/>
    </row>
    <row r="40" spans="1:22">
      <c r="B40" s="207"/>
      <c r="Q40" s="1267"/>
      <c r="R40" s="804"/>
      <c r="T40" s="1633"/>
      <c r="U40" s="1633"/>
      <c r="V40" s="1633"/>
    </row>
    <row r="41" spans="1:22" ht="12" customHeight="1">
      <c r="B41" s="1457"/>
      <c r="C41" s="206"/>
      <c r="D41" s="206"/>
      <c r="E41" s="206"/>
      <c r="F41" s="206"/>
      <c r="G41" s="206"/>
      <c r="H41" s="206"/>
      <c r="I41" s="206"/>
      <c r="J41" s="206"/>
      <c r="K41" s="206"/>
      <c r="L41" s="206"/>
      <c r="M41" s="206"/>
      <c r="N41" s="1458"/>
      <c r="O41" s="1459"/>
    </row>
    <row r="42" spans="1:22">
      <c r="Q42" s="1267"/>
      <c r="R42" s="804"/>
    </row>
    <row r="43" spans="1:22" ht="2.25" customHeight="1">
      <c r="R43" s="866"/>
    </row>
    <row r="44" spans="1:22" ht="12" hidden="1" customHeight="1">
      <c r="A44" s="867"/>
      <c r="B44" s="867"/>
      <c r="C44" s="867"/>
      <c r="D44" s="867"/>
      <c r="E44" s="867"/>
      <c r="F44" s="867"/>
      <c r="G44" s="867"/>
      <c r="H44" s="867"/>
      <c r="I44" s="867"/>
      <c r="J44" s="867"/>
      <c r="K44" s="867"/>
      <c r="L44" s="867"/>
      <c r="M44" s="867"/>
      <c r="N44" s="867"/>
      <c r="O44" s="867"/>
      <c r="P44" s="867"/>
      <c r="Q44" s="867"/>
    </row>
    <row r="45" spans="1:22" ht="12" hidden="1" customHeight="1"/>
    <row r="46" spans="1:22" ht="12" hidden="1" customHeight="1"/>
    <row r="47" spans="1:22" ht="12" customHeight="1"/>
    <row r="48" spans="1:22" ht="15.6">
      <c r="A48" s="829" t="s">
        <v>896</v>
      </c>
      <c r="C48" s="310"/>
      <c r="D48" s="310"/>
    </row>
    <row r="49" spans="1:16" ht="18" customHeight="1">
      <c r="A49" s="310"/>
      <c r="B49" s="310"/>
      <c r="C49" s="310"/>
      <c r="D49" s="310"/>
      <c r="F49" s="116" t="s">
        <v>498</v>
      </c>
    </row>
    <row r="50" spans="1:16" ht="15.6">
      <c r="A50" s="310"/>
      <c r="B50" s="310"/>
      <c r="C50" s="310"/>
      <c r="D50" s="310"/>
      <c r="L50" s="748" t="s">
        <v>430</v>
      </c>
      <c r="O50" s="1314" t="s">
        <v>431</v>
      </c>
      <c r="P50" s="210"/>
    </row>
    <row r="51" spans="1:16">
      <c r="B51" s="784" t="s">
        <v>6</v>
      </c>
      <c r="C51" s="96" t="s">
        <v>1269</v>
      </c>
    </row>
    <row r="52" spans="1:16" ht="12.6" thickBot="1">
      <c r="B52" s="199"/>
      <c r="F52" s="96" t="s">
        <v>1055</v>
      </c>
      <c r="K52" s="868" t="s">
        <v>274</v>
      </c>
      <c r="L52" s="869">
        <v>663.81</v>
      </c>
      <c r="N52" s="868" t="s">
        <v>274</v>
      </c>
      <c r="O52" s="869">
        <v>732.87</v>
      </c>
    </row>
    <row r="53" spans="1:16" ht="6.75" customHeight="1" thickTop="1">
      <c r="B53" s="199"/>
    </row>
    <row r="54" spans="1:16">
      <c r="B54" s="784" t="s">
        <v>8</v>
      </c>
      <c r="C54" s="96" t="s">
        <v>1270</v>
      </c>
    </row>
    <row r="55" spans="1:16">
      <c r="B55" s="199"/>
      <c r="C55" s="1267" t="s">
        <v>377</v>
      </c>
      <c r="D55" s="96" t="s">
        <v>529</v>
      </c>
      <c r="K55" s="793"/>
      <c r="L55" s="870">
        <v>500</v>
      </c>
      <c r="N55" s="793"/>
      <c r="O55" s="870">
        <v>500</v>
      </c>
    </row>
    <row r="56" spans="1:16">
      <c r="B56" s="199"/>
      <c r="C56" s="1267" t="s">
        <v>378</v>
      </c>
      <c r="D56" s="96" t="s">
        <v>1052</v>
      </c>
      <c r="J56" s="1267" t="s">
        <v>487</v>
      </c>
      <c r="K56" s="871"/>
      <c r="L56" s="870">
        <f>IF(AND(100&lt;='Data Entry'!H29,'Data Entry'!H29&lt;500),'Data Entry'!H29,0)</f>
        <v>325.38459999999998</v>
      </c>
      <c r="M56" s="1267" t="s">
        <v>487</v>
      </c>
      <c r="N56" s="793"/>
      <c r="O56" s="870">
        <f>IF(AND(VALUE(LEFT(RIGHT(O1,7),2))=3,(UnweightedStudCnt912PY+HSCountDORtoDOA)&gt;=100,(UnweightedStudCnt912PY+HSCountDORtoDOA)&lt;500),(UnweightedStudCnt912PY+HSCountDORtoDOA),IF(AND(UnweightedStudCnt912PY&gt;=100,UnweightedStudCnt912PY&lt;500),UnweightedStudCnt912PY,0))</f>
        <v>0</v>
      </c>
    </row>
    <row r="57" spans="1:16">
      <c r="B57" s="199"/>
      <c r="C57" s="1267" t="s">
        <v>379</v>
      </c>
      <c r="D57" s="96" t="s">
        <v>488</v>
      </c>
      <c r="J57" s="1267" t="s">
        <v>489</v>
      </c>
      <c r="K57" s="871"/>
      <c r="L57" s="870">
        <f>IF(L56&gt;0,L55-L56,0)</f>
        <v>174.61539999999999</v>
      </c>
      <c r="M57" s="1267" t="s">
        <v>489</v>
      </c>
      <c r="N57" s="793"/>
      <c r="O57" s="870">
        <f>IF(O56&gt;0,O55-O56,0)</f>
        <v>0</v>
      </c>
    </row>
    <row r="58" spans="1:16">
      <c r="B58" s="199"/>
      <c r="C58" s="1267" t="s">
        <v>464</v>
      </c>
      <c r="D58" s="96" t="s">
        <v>532</v>
      </c>
      <c r="J58" s="1267" t="s">
        <v>490</v>
      </c>
      <c r="K58" s="871"/>
      <c r="L58" s="870">
        <v>2.9999999999999997E-4</v>
      </c>
      <c r="M58" s="1267" t="s">
        <v>490</v>
      </c>
      <c r="N58" s="793"/>
      <c r="O58" s="872">
        <v>4.0000000000000002E-4</v>
      </c>
    </row>
    <row r="59" spans="1:16">
      <c r="B59" s="199"/>
      <c r="C59" s="1267" t="s">
        <v>499</v>
      </c>
      <c r="D59" s="96" t="s">
        <v>534</v>
      </c>
      <c r="J59" s="1267" t="s">
        <v>489</v>
      </c>
      <c r="K59" s="871"/>
      <c r="L59" s="870">
        <f>IF(L56&gt;0,ROUND(+L57*L58,3),0)</f>
        <v>5.1999999999999998E-2</v>
      </c>
      <c r="M59" s="1267" t="s">
        <v>489</v>
      </c>
      <c r="N59" s="793"/>
      <c r="O59" s="870">
        <f>IF(O56&gt;0,ROUND(+O57*O58,3),0)</f>
        <v>0</v>
      </c>
    </row>
    <row r="60" spans="1:16">
      <c r="B60" s="199"/>
      <c r="C60" s="1267" t="s">
        <v>500</v>
      </c>
      <c r="D60" s="96" t="s">
        <v>535</v>
      </c>
      <c r="J60" s="1267" t="s">
        <v>491</v>
      </c>
      <c r="K60" s="871"/>
      <c r="L60" s="870">
        <v>1.278</v>
      </c>
      <c r="M60" s="1267" t="s">
        <v>491</v>
      </c>
      <c r="N60" s="793"/>
      <c r="O60" s="872">
        <v>1.3979999999999999</v>
      </c>
    </row>
    <row r="61" spans="1:16">
      <c r="B61" s="199"/>
      <c r="C61" s="1267" t="s">
        <v>501</v>
      </c>
      <c r="D61" s="96" t="s">
        <v>1050</v>
      </c>
      <c r="J61" s="1267" t="s">
        <v>489</v>
      </c>
      <c r="K61" s="871"/>
      <c r="L61" s="870">
        <f>IF(L56&gt;0,+L59+L60,0)</f>
        <v>1.33</v>
      </c>
      <c r="M61" s="1267" t="s">
        <v>489</v>
      </c>
      <c r="N61" s="793"/>
      <c r="O61" s="870">
        <f>IF(O56&gt;0,+O59+O60,0)</f>
        <v>0</v>
      </c>
    </row>
    <row r="62" spans="1:16">
      <c r="B62" s="199"/>
      <c r="C62" s="1267" t="s">
        <v>502</v>
      </c>
      <c r="D62" s="96" t="s">
        <v>1056</v>
      </c>
      <c r="J62" s="1267" t="s">
        <v>490</v>
      </c>
      <c r="K62" s="864" t="s">
        <v>274</v>
      </c>
      <c r="L62" s="873">
        <v>474.47</v>
      </c>
      <c r="M62" s="1267" t="s">
        <v>490</v>
      </c>
      <c r="N62" s="864" t="s">
        <v>274</v>
      </c>
      <c r="O62" s="873">
        <v>494.39</v>
      </c>
    </row>
    <row r="63" spans="1:16" ht="12.6" thickBot="1">
      <c r="B63" s="199"/>
      <c r="C63" s="1267" t="s">
        <v>503</v>
      </c>
      <c r="D63" s="1267"/>
      <c r="F63" s="96" t="s">
        <v>1055</v>
      </c>
      <c r="J63" s="1267" t="s">
        <v>489</v>
      </c>
      <c r="K63" s="868" t="s">
        <v>274</v>
      </c>
      <c r="L63" s="869">
        <f>IF(L56&gt;0,ROUND(+L61*L62,2),0)</f>
        <v>631.04999999999995</v>
      </c>
      <c r="M63" s="1267" t="s">
        <v>489</v>
      </c>
      <c r="N63" s="868" t="s">
        <v>274</v>
      </c>
      <c r="O63" s="869">
        <f>IF(O56&gt;0,ROUND(+O61*O62,2),0)</f>
        <v>0</v>
      </c>
    </row>
    <row r="64" spans="1:16" ht="7.5" customHeight="1" thickTop="1">
      <c r="B64" s="199"/>
    </row>
    <row r="65" spans="2:15">
      <c r="B65" s="784" t="s">
        <v>22</v>
      </c>
      <c r="C65" s="96" t="s">
        <v>1271</v>
      </c>
    </row>
    <row r="66" spans="2:15">
      <c r="B66" s="199"/>
      <c r="C66" s="1267" t="s">
        <v>377</v>
      </c>
      <c r="D66" s="96" t="s">
        <v>529</v>
      </c>
      <c r="K66" s="793"/>
      <c r="L66" s="870">
        <v>600</v>
      </c>
      <c r="N66" s="793"/>
      <c r="O66" s="870">
        <v>600</v>
      </c>
    </row>
    <row r="67" spans="2:15">
      <c r="B67" s="199"/>
      <c r="C67" s="1267" t="s">
        <v>378</v>
      </c>
      <c r="D67" s="96" t="s">
        <v>1052</v>
      </c>
      <c r="J67" s="1267" t="s">
        <v>487</v>
      </c>
      <c r="K67" s="793"/>
      <c r="L67" s="872">
        <f>IF(AND(500&lt;='Data Entry'!H29,'Data Entry'!H29&lt;600),'Data Entry'!H29,0)</f>
        <v>0</v>
      </c>
      <c r="M67" s="1267" t="s">
        <v>487</v>
      </c>
      <c r="N67" s="793"/>
      <c r="O67" s="872">
        <f>IF(AND(VALUE(LEFT(RIGHT(O1,7),2))=3,('Data Entry'!I29+'Data Entry'!L139)&gt;=500,('Data Entry'!I29+'Data Entry'!L139)&lt;600),('Data Entry'!I29+'Data Entry'!L139),IF(AND('Data Entry'!I29&gt;=500,'Data Entry'!I29&lt;600),'Data Entry'!I29,0))</f>
        <v>0</v>
      </c>
    </row>
    <row r="68" spans="2:15">
      <c r="B68" s="199"/>
      <c r="C68" s="1267" t="s">
        <v>379</v>
      </c>
      <c r="D68" s="96" t="s">
        <v>488</v>
      </c>
      <c r="J68" s="1267" t="s">
        <v>489</v>
      </c>
      <c r="K68" s="793"/>
      <c r="L68" s="872">
        <f>IF(L67&gt;0,+L66-L67,0)</f>
        <v>0</v>
      </c>
      <c r="M68" s="1267" t="s">
        <v>489</v>
      </c>
      <c r="N68" s="793"/>
      <c r="O68" s="872">
        <f>IF(O67&gt;0,+O66-O67,0)</f>
        <v>0</v>
      </c>
    </row>
    <row r="69" spans="2:15">
      <c r="B69" s="199"/>
      <c r="C69" s="1267" t="s">
        <v>464</v>
      </c>
      <c r="D69" s="96" t="s">
        <v>532</v>
      </c>
      <c r="J69" s="1267" t="s">
        <v>490</v>
      </c>
      <c r="K69" s="793"/>
      <c r="L69" s="872">
        <v>1.1999999999999999E-3</v>
      </c>
      <c r="M69" s="1267" t="s">
        <v>490</v>
      </c>
      <c r="N69" s="793"/>
      <c r="O69" s="872">
        <v>1.2999999999999999E-3</v>
      </c>
    </row>
    <row r="70" spans="2:15">
      <c r="B70" s="199"/>
      <c r="C70" s="1267" t="s">
        <v>499</v>
      </c>
      <c r="D70" s="96" t="s">
        <v>534</v>
      </c>
      <c r="J70" s="1267" t="s">
        <v>489</v>
      </c>
      <c r="K70" s="793"/>
      <c r="L70" s="872">
        <f>IF(L67&gt;0,ROUND(+L68*L69,3),0)</f>
        <v>0</v>
      </c>
      <c r="M70" s="1267" t="s">
        <v>489</v>
      </c>
      <c r="N70" s="793"/>
      <c r="O70" s="872">
        <f>IF(O67&gt;0,ROUND(+O68*O69,3),0)</f>
        <v>0</v>
      </c>
    </row>
    <row r="71" spans="2:15">
      <c r="B71" s="199"/>
      <c r="C71" s="1267" t="s">
        <v>500</v>
      </c>
      <c r="D71" s="96" t="s">
        <v>535</v>
      </c>
      <c r="J71" s="1267" t="s">
        <v>491</v>
      </c>
      <c r="K71" s="793"/>
      <c r="L71" s="872">
        <v>1.1579999999999999</v>
      </c>
      <c r="M71" s="1267" t="s">
        <v>491</v>
      </c>
      <c r="N71" s="793"/>
      <c r="O71" s="872">
        <v>1.268</v>
      </c>
    </row>
    <row r="72" spans="2:15">
      <c r="B72" s="199"/>
      <c r="C72" s="1267" t="s">
        <v>501</v>
      </c>
      <c r="D72" s="96" t="s">
        <v>1050</v>
      </c>
      <c r="J72" s="1267" t="s">
        <v>489</v>
      </c>
      <c r="K72" s="793"/>
      <c r="L72" s="872">
        <f>IF(L67&gt;0,+L70+L71,0)</f>
        <v>0</v>
      </c>
      <c r="M72" s="1267" t="s">
        <v>489</v>
      </c>
      <c r="N72" s="793"/>
      <c r="O72" s="872">
        <f>IF(O67&gt;0,+O70+O71,0)</f>
        <v>0</v>
      </c>
    </row>
    <row r="73" spans="2:15">
      <c r="B73" s="199"/>
      <c r="C73" s="1267" t="s">
        <v>502</v>
      </c>
      <c r="D73" s="96" t="s">
        <v>1056</v>
      </c>
      <c r="J73" s="1267" t="s">
        <v>490</v>
      </c>
      <c r="K73" s="864" t="s">
        <v>274</v>
      </c>
      <c r="L73" s="873">
        <v>474.47</v>
      </c>
      <c r="M73" s="1267" t="s">
        <v>490</v>
      </c>
      <c r="N73" s="864" t="s">
        <v>274</v>
      </c>
      <c r="O73" s="873">
        <v>494.39</v>
      </c>
    </row>
    <row r="74" spans="2:15" ht="12.6" thickBot="1">
      <c r="B74" s="199"/>
      <c r="C74" s="1267" t="s">
        <v>503</v>
      </c>
      <c r="D74" s="1267"/>
      <c r="F74" s="96" t="s">
        <v>1055</v>
      </c>
      <c r="J74" s="1267" t="s">
        <v>489</v>
      </c>
      <c r="K74" s="868" t="s">
        <v>274</v>
      </c>
      <c r="L74" s="869">
        <f>IF(L67&gt;0,ROUND(+L72*L73,2),0)</f>
        <v>0</v>
      </c>
      <c r="M74" s="1267" t="s">
        <v>489</v>
      </c>
      <c r="N74" s="868" t="s">
        <v>274</v>
      </c>
      <c r="O74" s="869">
        <f>IF(O67&gt;0,ROUND(+O72*O73,2),0)</f>
        <v>0</v>
      </c>
    </row>
    <row r="75" spans="2:15" ht="7.5" customHeight="1" thickTop="1">
      <c r="B75" s="199"/>
    </row>
    <row r="76" spans="2:15">
      <c r="B76" s="784" t="s">
        <v>40</v>
      </c>
      <c r="C76" s="96" t="s">
        <v>1272</v>
      </c>
    </row>
    <row r="77" spans="2:15" ht="12.6" thickBot="1">
      <c r="F77" s="96" t="s">
        <v>1055</v>
      </c>
      <c r="K77" s="868" t="s">
        <v>274</v>
      </c>
      <c r="L77" s="869">
        <v>549.45000000000005</v>
      </c>
      <c r="N77" s="868" t="s">
        <v>274</v>
      </c>
      <c r="O77" s="869">
        <v>600.86</v>
      </c>
    </row>
    <row r="78" spans="2:15" ht="12.6" thickTop="1">
      <c r="K78" s="1267"/>
      <c r="L78" s="804"/>
      <c r="N78" s="1267"/>
      <c r="O78" s="804"/>
    </row>
    <row r="80" spans="2:15">
      <c r="B80" s="207"/>
      <c r="N80" s="1267"/>
      <c r="O80" s="804"/>
    </row>
    <row r="82" spans="1:19" ht="15.75" customHeight="1">
      <c r="A82" s="1859" t="s">
        <v>504</v>
      </c>
      <c r="B82" s="1859"/>
      <c r="C82" s="1859"/>
      <c r="D82" s="1859"/>
      <c r="E82" s="1859"/>
      <c r="F82" s="1859"/>
      <c r="G82" s="1859"/>
      <c r="H82" s="1859"/>
      <c r="I82" s="1859"/>
      <c r="J82" s="1859"/>
      <c r="K82" s="1859"/>
      <c r="L82" s="1859"/>
      <c r="M82" s="1859"/>
      <c r="N82" s="1859"/>
      <c r="O82" s="1859"/>
      <c r="P82" s="1859"/>
      <c r="Q82" s="1859"/>
      <c r="R82" s="1859"/>
      <c r="S82" s="1859"/>
    </row>
    <row r="83" spans="1:19">
      <c r="B83" s="207" t="s">
        <v>6</v>
      </c>
      <c r="C83" s="96" t="s">
        <v>1273</v>
      </c>
      <c r="Q83" s="864" t="s">
        <v>274</v>
      </c>
      <c r="R83" s="865">
        <f>[1]!GBLBudgFY</f>
        <v>3989693</v>
      </c>
    </row>
    <row r="84" spans="1:19">
      <c r="B84" s="1491" t="s">
        <v>8</v>
      </c>
      <c r="C84" s="96" t="s">
        <v>1274</v>
      </c>
      <c r="Q84" s="864" t="s">
        <v>274</v>
      </c>
      <c r="R84" s="865">
        <f>BUDG75Adj</f>
        <v>0</v>
      </c>
    </row>
    <row r="85" spans="1:19">
      <c r="B85" s="207" t="s">
        <v>22</v>
      </c>
      <c r="C85" s="96" t="s">
        <v>505</v>
      </c>
      <c r="Q85" s="864" t="s">
        <v>274</v>
      </c>
      <c r="R85" s="865">
        <f>R83+R84</f>
        <v>3989693</v>
      </c>
    </row>
    <row r="86" spans="1:19">
      <c r="B86" s="207" t="s">
        <v>40</v>
      </c>
      <c r="C86" s="96" t="s">
        <v>1397</v>
      </c>
      <c r="Q86" s="864" t="s">
        <v>274</v>
      </c>
      <c r="R86" s="865">
        <f>'[1]Page 1'!$L$44</f>
        <v>3989693</v>
      </c>
    </row>
    <row r="87" spans="1:19">
      <c r="B87" s="207" t="s">
        <v>98</v>
      </c>
      <c r="C87" s="96" t="s">
        <v>506</v>
      </c>
      <c r="Q87" s="864" t="s">
        <v>274</v>
      </c>
      <c r="R87" s="865">
        <f>R84</f>
        <v>0</v>
      </c>
    </row>
    <row r="88" spans="1:19">
      <c r="B88" s="207" t="s">
        <v>99</v>
      </c>
      <c r="C88" s="96" t="s">
        <v>507</v>
      </c>
      <c r="Q88" s="864" t="s">
        <v>274</v>
      </c>
      <c r="R88" s="865">
        <f>R86+R87</f>
        <v>3989693</v>
      </c>
    </row>
    <row r="89" spans="1:19">
      <c r="B89" s="207" t="s">
        <v>100</v>
      </c>
      <c r="C89" s="96" t="s">
        <v>508</v>
      </c>
      <c r="Q89" s="864" t="s">
        <v>274</v>
      </c>
      <c r="R89" s="865">
        <f>MIN(R85,R88)</f>
        <v>3989693</v>
      </c>
    </row>
    <row r="90" spans="1:19">
      <c r="B90" s="1492" t="s">
        <v>102</v>
      </c>
      <c r="C90" s="96" t="s">
        <v>1275</v>
      </c>
      <c r="Q90" s="864" t="s">
        <v>274</v>
      </c>
      <c r="R90" s="865">
        <f>PYTotMOActExpend</f>
        <v>3470691</v>
      </c>
    </row>
    <row r="91" spans="1:19" ht="23.25" customHeight="1">
      <c r="B91" s="811" t="s">
        <v>103</v>
      </c>
      <c r="C91" s="1633" t="s">
        <v>1057</v>
      </c>
      <c r="D91" s="1633"/>
      <c r="E91" s="1633"/>
      <c r="F91" s="1633"/>
      <c r="G91" s="1633"/>
      <c r="H91" s="1633"/>
      <c r="I91" s="1633"/>
      <c r="K91" s="864" t="s">
        <v>274</v>
      </c>
      <c r="L91" s="865" t="str">
        <f>IF((R89-R90&lt;0),R89-R90," ")</f>
        <v xml:space="preserve"> </v>
      </c>
      <c r="N91" s="1861" t="str">
        <f>IF(L91&lt;0,"OVEREXPENDED"," ")</f>
        <v xml:space="preserve"> </v>
      </c>
      <c r="O91" s="1861"/>
      <c r="Q91" s="864" t="s">
        <v>274</v>
      </c>
      <c r="R91" s="865">
        <f>IF(R89-R90&gt;0,R89-R90,0)</f>
        <v>519002</v>
      </c>
    </row>
    <row r="92" spans="1:19">
      <c r="C92" s="1304"/>
      <c r="D92" s="1304"/>
      <c r="E92" s="1304"/>
      <c r="F92" s="1304"/>
      <c r="G92" s="1304"/>
      <c r="H92" s="1304"/>
      <c r="I92" s="1304"/>
    </row>
    <row r="93" spans="1:19">
      <c r="B93" s="116" t="s">
        <v>1276</v>
      </c>
    </row>
    <row r="95" spans="1:19" ht="15.75" customHeight="1">
      <c r="B95" s="1492" t="s">
        <v>104</v>
      </c>
      <c r="C95" s="96" t="s">
        <v>1277</v>
      </c>
      <c r="K95" s="1588" t="s">
        <v>1388</v>
      </c>
      <c r="L95" s="1588"/>
      <c r="N95" s="1588" t="s">
        <v>509</v>
      </c>
      <c r="O95" s="1588"/>
      <c r="Q95" s="1588" t="s">
        <v>510</v>
      </c>
      <c r="R95" s="1588"/>
    </row>
    <row r="96" spans="1:19">
      <c r="C96" s="1267" t="s">
        <v>377</v>
      </c>
      <c r="D96" s="96" t="s">
        <v>511</v>
      </c>
      <c r="K96" s="864" t="s">
        <v>274</v>
      </c>
      <c r="L96" s="865">
        <f>[1]!SpecProgOverride</f>
        <v>0</v>
      </c>
      <c r="M96" s="5" t="s">
        <v>487</v>
      </c>
      <c r="N96" s="864" t="s">
        <v>274</v>
      </c>
      <c r="O96" s="865">
        <f>'Data Entry'!L103</f>
        <v>0</v>
      </c>
      <c r="P96" s="5" t="s">
        <v>489</v>
      </c>
      <c r="Q96" s="864" t="s">
        <v>274</v>
      </c>
      <c r="R96" s="865">
        <f t="shared" ref="R96:R100" si="0">IF(L96-O96&gt;0,L96-O96,0)</f>
        <v>0</v>
      </c>
    </row>
    <row r="97" spans="2:18">
      <c r="C97" s="1267" t="s">
        <v>378</v>
      </c>
      <c r="D97" s="96" t="s">
        <v>512</v>
      </c>
      <c r="K97" s="864" t="s">
        <v>274</v>
      </c>
      <c r="L97" s="865">
        <f>[1]!BudgIncrDesegExp</f>
        <v>0</v>
      </c>
      <c r="M97" s="5" t="s">
        <v>487</v>
      </c>
      <c r="N97" s="864" t="s">
        <v>274</v>
      </c>
      <c r="O97" s="865">
        <f>'Data Entry'!L104</f>
        <v>0</v>
      </c>
      <c r="P97" s="5" t="s">
        <v>489</v>
      </c>
      <c r="Q97" s="864" t="s">
        <v>274</v>
      </c>
      <c r="R97" s="865">
        <f t="shared" si="0"/>
        <v>0</v>
      </c>
    </row>
    <row r="98" spans="2:18">
      <c r="C98" s="191" t="s">
        <v>379</v>
      </c>
      <c r="D98" s="96" t="s">
        <v>463</v>
      </c>
      <c r="K98" s="864" t="s">
        <v>274</v>
      </c>
      <c r="L98" s="865">
        <f>[1]!BudgIncrDropPrevProg</f>
        <v>0</v>
      </c>
      <c r="M98" s="5" t="s">
        <v>487</v>
      </c>
      <c r="N98" s="864" t="s">
        <v>274</v>
      </c>
      <c r="O98" s="865">
        <f>'Data Entry'!L105</f>
        <v>0</v>
      </c>
      <c r="P98" s="5" t="s">
        <v>489</v>
      </c>
      <c r="Q98" s="864" t="s">
        <v>274</v>
      </c>
      <c r="R98" s="865">
        <f t="shared" si="0"/>
        <v>0</v>
      </c>
    </row>
    <row r="99" spans="2:18">
      <c r="C99" s="191" t="s">
        <v>464</v>
      </c>
      <c r="D99" s="96" t="s">
        <v>1171</v>
      </c>
      <c r="K99" s="864" t="s">
        <v>274</v>
      </c>
      <c r="L99" s="865">
        <f>[1]!BudgIncrJCTEVEC</f>
        <v>0</v>
      </c>
      <c r="M99" s="5" t="s">
        <v>487</v>
      </c>
      <c r="N99" s="864" t="s">
        <v>274</v>
      </c>
      <c r="O99" s="865">
        <f>'Data Entry'!L106</f>
        <v>0</v>
      </c>
      <c r="P99" s="5" t="s">
        <v>489</v>
      </c>
      <c r="Q99" s="864" t="s">
        <v>274</v>
      </c>
      <c r="R99" s="865">
        <f t="shared" si="0"/>
        <v>0</v>
      </c>
    </row>
    <row r="100" spans="2:18">
      <c r="C100" s="191" t="s">
        <v>499</v>
      </c>
      <c r="D100" s="96" t="s">
        <v>513</v>
      </c>
      <c r="K100" s="864" t="s">
        <v>274</v>
      </c>
      <c r="L100" s="865" cm="1">
        <f t="array" ref="L100">[1]!PerfPayCrryfwd</f>
        <v>0</v>
      </c>
      <c r="M100" s="5" t="s">
        <v>487</v>
      </c>
      <c r="N100" s="864" t="s">
        <v>274</v>
      </c>
      <c r="O100" s="865">
        <f>'Data Entry'!L107</f>
        <v>0</v>
      </c>
      <c r="P100" s="5" t="s">
        <v>489</v>
      </c>
      <c r="Q100" s="864" t="s">
        <v>274</v>
      </c>
      <c r="R100" s="865">
        <f t="shared" si="0"/>
        <v>0</v>
      </c>
    </row>
    <row r="101" spans="2:18">
      <c r="C101" s="191" t="s">
        <v>500</v>
      </c>
      <c r="D101" s="96" t="s">
        <v>514</v>
      </c>
      <c r="P101" s="5" t="s">
        <v>489</v>
      </c>
      <c r="Q101" s="864" t="s">
        <v>274</v>
      </c>
      <c r="R101" s="865">
        <f>R96+R97+R98+R99+R100</f>
        <v>0</v>
      </c>
    </row>
    <row r="102" spans="2:18">
      <c r="B102" s="207" t="s">
        <v>105</v>
      </c>
      <c r="C102" s="96" t="s">
        <v>1172</v>
      </c>
      <c r="Q102" s="864" t="s">
        <v>274</v>
      </c>
      <c r="R102" s="865">
        <f>IF(R91-R101&gt;0,R91-R101,0)</f>
        <v>519002</v>
      </c>
    </row>
    <row r="103" spans="2:18" ht="23.25" customHeight="1">
      <c r="B103" s="811" t="s">
        <v>106</v>
      </c>
      <c r="C103" s="1770" t="s">
        <v>1278</v>
      </c>
      <c r="D103" s="1770"/>
      <c r="E103" s="1770"/>
      <c r="F103" s="1770"/>
      <c r="G103" s="1770"/>
      <c r="H103" s="1770"/>
      <c r="I103" s="1770"/>
      <c r="J103" s="1770"/>
      <c r="P103" s="5" t="s">
        <v>487</v>
      </c>
      <c r="Q103" s="864" t="s">
        <v>274</v>
      </c>
      <c r="R103" s="865">
        <f>IF('Data Entry'!L108&gt;0,MIN('Data Entry'!L108,R102),0)</f>
        <v>0</v>
      </c>
    </row>
    <row r="104" spans="2:18">
      <c r="B104" s="207" t="s">
        <v>107</v>
      </c>
      <c r="C104" s="96" t="s">
        <v>1058</v>
      </c>
      <c r="P104" s="96" t="s">
        <v>489</v>
      </c>
      <c r="Q104" s="864" t="s">
        <v>274</v>
      </c>
      <c r="R104" s="865">
        <f>R102-R103</f>
        <v>519002</v>
      </c>
    </row>
    <row r="106" spans="2:18">
      <c r="B106" s="207" t="s">
        <v>108</v>
      </c>
      <c r="C106" s="96" t="s">
        <v>515</v>
      </c>
    </row>
    <row r="107" spans="2:18">
      <c r="C107" s="1495" t="s">
        <v>377</v>
      </c>
      <c r="D107" s="96" t="s">
        <v>1279</v>
      </c>
      <c r="Q107" s="864" t="s">
        <v>274</v>
      </c>
      <c r="R107" s="865">
        <f>IF(VALUE(LEFT(RIGHT(O1,7),2))=1,PYEndMOCash,0)</f>
        <v>0</v>
      </c>
    </row>
    <row r="108" spans="2:18">
      <c r="C108" s="1267" t="s">
        <v>378</v>
      </c>
      <c r="D108" s="96" t="s">
        <v>1059</v>
      </c>
      <c r="I108" s="1267"/>
      <c r="P108" s="1267" t="s">
        <v>487</v>
      </c>
      <c r="Q108" s="864" t="s">
        <v>274</v>
      </c>
      <c r="R108" s="865">
        <f>IF(AND(VALUE(LEFT(RIGHT(O1,7),2))=1,LessDSLorRCL912&gt;0),R104,0)</f>
        <v>0</v>
      </c>
    </row>
    <row r="109" spans="2:18">
      <c r="C109" s="1267" t="s">
        <v>379</v>
      </c>
      <c r="D109" s="96" t="s">
        <v>516</v>
      </c>
      <c r="P109" s="1267" t="s">
        <v>489</v>
      </c>
      <c r="Q109" s="864" t="s">
        <v>274</v>
      </c>
      <c r="R109" s="865">
        <f>R107-R108</f>
        <v>0</v>
      </c>
    </row>
    <row r="110" spans="2:18">
      <c r="B110" s="207" t="s">
        <v>109</v>
      </c>
      <c r="C110" s="96" t="s">
        <v>1173</v>
      </c>
    </row>
    <row r="111" spans="2:18">
      <c r="C111" s="1267" t="s">
        <v>377</v>
      </c>
      <c r="D111" s="96" t="s">
        <v>517</v>
      </c>
      <c r="N111" s="864" t="s">
        <v>274</v>
      </c>
      <c r="O111" s="865">
        <f>R109</f>
        <v>0</v>
      </c>
    </row>
    <row r="112" spans="2:18">
      <c r="C112" s="1495" t="s">
        <v>378</v>
      </c>
      <c r="D112" s="96" t="s">
        <v>1280</v>
      </c>
      <c r="N112" s="864" t="s">
        <v>274</v>
      </c>
      <c r="O112" s="865">
        <f>AccommRCL10</f>
        <v>0</v>
      </c>
    </row>
    <row r="113" spans="1:18">
      <c r="C113" s="1495" t="s">
        <v>379</v>
      </c>
      <c r="D113" s="96" t="s">
        <v>1281</v>
      </c>
      <c r="M113" s="96" t="s">
        <v>491</v>
      </c>
      <c r="N113" s="864" t="s">
        <v>274</v>
      </c>
      <c r="O113" s="865">
        <f>AccommRCL05</f>
        <v>0</v>
      </c>
    </row>
    <row r="114" spans="1:18">
      <c r="C114" s="1267" t="s">
        <v>464</v>
      </c>
      <c r="D114" s="96" t="s">
        <v>518</v>
      </c>
      <c r="M114" s="96" t="s">
        <v>489</v>
      </c>
      <c r="N114" s="864" t="s">
        <v>274</v>
      </c>
      <c r="O114" s="865">
        <f>O112+O113</f>
        <v>0</v>
      </c>
    </row>
    <row r="115" spans="1:18">
      <c r="C115" s="1267" t="s">
        <v>499</v>
      </c>
      <c r="D115" s="96" t="s">
        <v>519</v>
      </c>
      <c r="Q115" s="864" t="s">
        <v>274</v>
      </c>
      <c r="R115" s="865">
        <f>MIN(O111,O114)</f>
        <v>0</v>
      </c>
    </row>
    <row r="117" spans="1:18" s="3" customFormat="1" ht="17.25" customHeight="1">
      <c r="A117" s="1142" t="s">
        <v>520</v>
      </c>
      <c r="B117" s="1140"/>
      <c r="C117" s="1140"/>
      <c r="D117" s="1140"/>
      <c r="E117" s="1140"/>
      <c r="F117" s="1140"/>
      <c r="G117" s="1140"/>
      <c r="H117" s="1140"/>
      <c r="I117" s="1140"/>
      <c r="J117" s="1140"/>
      <c r="K117" s="1140"/>
      <c r="L117" s="1140"/>
    </row>
    <row r="118" spans="1:18">
      <c r="B118" s="1492" t="s">
        <v>6</v>
      </c>
      <c r="C118" s="96" t="s">
        <v>1282</v>
      </c>
      <c r="Q118" s="864" t="s">
        <v>274</v>
      </c>
      <c r="R118" s="865">
        <f>'Data Entry'!L111</f>
        <v>145352</v>
      </c>
    </row>
    <row r="119" spans="1:18">
      <c r="B119" s="1492" t="s">
        <v>8</v>
      </c>
      <c r="C119" s="1770" t="s">
        <v>1283</v>
      </c>
      <c r="D119" s="1770"/>
      <c r="E119" s="1770"/>
      <c r="F119" s="1770"/>
      <c r="G119" s="1770"/>
      <c r="H119" s="1770"/>
      <c r="I119" s="1770"/>
      <c r="J119" s="1770"/>
      <c r="K119" s="1770"/>
      <c r="L119" s="1770"/>
    </row>
    <row r="120" spans="1:18">
      <c r="B120" s="207"/>
      <c r="C120" s="1770"/>
      <c r="D120" s="1770"/>
      <c r="E120" s="1770"/>
      <c r="F120" s="1770"/>
      <c r="G120" s="1770"/>
      <c r="H120" s="1770"/>
      <c r="I120" s="1770"/>
      <c r="J120" s="1770"/>
      <c r="K120" s="1770"/>
      <c r="L120" s="1770"/>
      <c r="P120" s="5" t="s">
        <v>487</v>
      </c>
      <c r="Q120" s="864" t="s">
        <v>274</v>
      </c>
      <c r="R120" s="865">
        <f>'Data Entry'!L112</f>
        <v>0</v>
      </c>
    </row>
    <row r="121" spans="1:18">
      <c r="B121" s="207" t="s">
        <v>22</v>
      </c>
      <c r="C121" s="96" t="s">
        <v>466</v>
      </c>
      <c r="N121" s="864" t="s">
        <v>274</v>
      </c>
      <c r="O121" s="865">
        <f>IF('Data Entry'!L111&gt;0,CYTRCL-TSL,0)</f>
        <v>548255.48</v>
      </c>
      <c r="P121" s="5"/>
    </row>
    <row r="122" spans="1:18" ht="24" customHeight="1">
      <c r="B122" s="1492" t="s">
        <v>40</v>
      </c>
      <c r="C122" s="1633" t="s">
        <v>1284</v>
      </c>
      <c r="D122" s="1633"/>
      <c r="E122" s="1633"/>
      <c r="F122" s="1633"/>
      <c r="G122" s="1633"/>
      <c r="H122" s="1633"/>
      <c r="I122" s="1633"/>
      <c r="J122" s="1633"/>
      <c r="K122" s="1633"/>
      <c r="L122" s="1633"/>
      <c r="M122" s="1633"/>
      <c r="N122" s="1633"/>
      <c r="P122" s="5" t="s">
        <v>487</v>
      </c>
      <c r="Q122" s="864" t="s">
        <v>274</v>
      </c>
      <c r="R122" s="865">
        <f>'Data Entry'!L113</f>
        <v>0</v>
      </c>
    </row>
    <row r="123" spans="1:18">
      <c r="B123" s="1492" t="s">
        <v>98</v>
      </c>
      <c r="C123" s="96" t="s">
        <v>1285</v>
      </c>
      <c r="P123" s="5" t="s">
        <v>487</v>
      </c>
      <c r="Q123" s="864" t="s">
        <v>274</v>
      </c>
      <c r="R123" s="865">
        <f>'Data Entry'!L114</f>
        <v>0</v>
      </c>
    </row>
    <row r="124" spans="1:18">
      <c r="B124" s="1492" t="s">
        <v>99</v>
      </c>
      <c r="C124" s="96" t="s">
        <v>1286</v>
      </c>
      <c r="P124" s="5" t="s">
        <v>491</v>
      </c>
      <c r="Q124" s="864" t="s">
        <v>274</v>
      </c>
      <c r="R124" s="865">
        <f>'Data Entry'!L115</f>
        <v>811504</v>
      </c>
    </row>
    <row r="125" spans="1:18" ht="11.25" customHeight="1">
      <c r="B125" s="811" t="s">
        <v>100</v>
      </c>
      <c r="C125" s="1633" t="s">
        <v>1287</v>
      </c>
      <c r="D125" s="1633"/>
      <c r="E125" s="1633"/>
      <c r="F125" s="1633"/>
      <c r="G125" s="1633"/>
      <c r="H125" s="1633"/>
      <c r="I125" s="1633"/>
      <c r="J125" s="1633"/>
      <c r="P125" s="5" t="s">
        <v>489</v>
      </c>
      <c r="Q125" s="864" t="s">
        <v>274</v>
      </c>
      <c r="R125" s="865">
        <f>R118-R120-R122-R123+R124</f>
        <v>956856</v>
      </c>
    </row>
    <row r="129" spans="1:33" ht="13.8">
      <c r="A129" s="829" t="s">
        <v>521</v>
      </c>
    </row>
    <row r="131" spans="1:33" ht="34.5" customHeight="1">
      <c r="A131" s="1858" t="s">
        <v>522</v>
      </c>
      <c r="B131" s="1858"/>
      <c r="C131" s="1858"/>
      <c r="D131" s="1858"/>
      <c r="E131" s="1858"/>
      <c r="F131" s="1858"/>
      <c r="G131" s="1858"/>
      <c r="H131" s="1858"/>
      <c r="I131" s="1858"/>
      <c r="J131" s="1858"/>
      <c r="K131" s="1858"/>
      <c r="L131" s="1858"/>
      <c r="M131" s="1858"/>
      <c r="N131" s="1858"/>
      <c r="O131" s="1858"/>
      <c r="P131" s="1858"/>
      <c r="Q131" s="1858"/>
      <c r="R131" s="1858"/>
    </row>
    <row r="133" spans="1:33" ht="43.5" customHeight="1">
      <c r="A133" s="1633" t="s">
        <v>1288</v>
      </c>
      <c r="B133" s="1633"/>
      <c r="C133" s="1633"/>
      <c r="D133" s="1633"/>
      <c r="E133" s="1633"/>
      <c r="F133" s="1633"/>
      <c r="G133" s="1633"/>
      <c r="H133" s="1633"/>
      <c r="I133" s="1633"/>
      <c r="J133" s="1633"/>
      <c r="K133" s="1633"/>
      <c r="L133" s="1633"/>
      <c r="M133" s="1633"/>
      <c r="N133" s="1633"/>
      <c r="O133" s="1633"/>
      <c r="P133" s="1633"/>
      <c r="Q133" s="1633"/>
      <c r="R133" s="1633"/>
      <c r="S133" s="443"/>
      <c r="AF133" s="1205" t="s">
        <v>523</v>
      </c>
      <c r="AG133" s="1205" t="s">
        <v>900</v>
      </c>
    </row>
    <row r="135" spans="1:33">
      <c r="B135" s="207" t="s">
        <v>6</v>
      </c>
      <c r="C135" s="96" t="s">
        <v>524</v>
      </c>
      <c r="W135" s="116"/>
      <c r="Y135" s="210" t="s">
        <v>525</v>
      </c>
    </row>
    <row r="136" spans="1:33">
      <c r="C136" s="120" t="s">
        <v>377</v>
      </c>
      <c r="D136" s="874" t="s">
        <v>526</v>
      </c>
      <c r="Q136" s="864" t="s">
        <v>274</v>
      </c>
      <c r="R136" s="865">
        <v>150000</v>
      </c>
      <c r="T136" s="1880" t="s">
        <v>527</v>
      </c>
      <c r="U136" s="1880"/>
      <c r="Y136" s="748" t="s">
        <v>528</v>
      </c>
      <c r="Z136" s="210" t="s">
        <v>525</v>
      </c>
    </row>
    <row r="137" spans="1:33">
      <c r="C137" s="120" t="s">
        <v>378</v>
      </c>
      <c r="D137" s="3" t="s">
        <v>1289</v>
      </c>
      <c r="O137" s="762">
        <f>IF(AND(SSAPhaseDownCheckbox="X",SSAFYExceeded&lt;2000,UnweightedStudCntK8PY&gt;125,UnweightedStudCntK8PY&lt;154),UnweightedStudCntK8PY,0)</f>
        <v>0</v>
      </c>
      <c r="T137" s="96" t="s">
        <v>529</v>
      </c>
      <c r="Y137" s="762">
        <v>500</v>
      </c>
      <c r="Z137" s="762">
        <v>500</v>
      </c>
    </row>
    <row r="138" spans="1:33">
      <c r="C138" s="120" t="s">
        <v>379</v>
      </c>
      <c r="D138" s="874" t="s">
        <v>530</v>
      </c>
      <c r="N138" s="5" t="s">
        <v>487</v>
      </c>
      <c r="O138" s="762">
        <v>125</v>
      </c>
      <c r="T138" s="96" t="s">
        <v>1290</v>
      </c>
      <c r="X138" s="1267" t="s">
        <v>487</v>
      </c>
      <c r="Y138" s="762">
        <f>IF(AND(SSAPhaseDownCheckbox="X",SmallIsolatedPSD8Checkbox="X"),O137,0)</f>
        <v>0</v>
      </c>
      <c r="Z138" s="762">
        <f>IF(AND(SSAPhaseDownCheckbox="X",SmallIsolatedPSD8Checkbox&lt;&gt;"X"),O137,0)</f>
        <v>0</v>
      </c>
    </row>
    <row r="139" spans="1:33">
      <c r="C139" s="120" t="s">
        <v>464</v>
      </c>
      <c r="D139" s="874" t="s">
        <v>531</v>
      </c>
      <c r="N139" s="5" t="s">
        <v>489</v>
      </c>
      <c r="O139" s="762">
        <f>IF(O137&gt;0,O137-O138,0)</f>
        <v>0</v>
      </c>
      <c r="U139" s="96" t="s">
        <v>488</v>
      </c>
      <c r="X139" s="1267" t="s">
        <v>489</v>
      </c>
      <c r="Y139" s="762">
        <f>IF(Y138&gt;0,Y137-Y138,0)</f>
        <v>0</v>
      </c>
      <c r="Z139" s="762">
        <f>IF(Z138&gt;0,Z137-Z138,0)</f>
        <v>0</v>
      </c>
    </row>
    <row r="140" spans="1:33">
      <c r="C140" s="120" t="s">
        <v>499</v>
      </c>
      <c r="D140" s="874" t="s">
        <v>1060</v>
      </c>
      <c r="N140" s="5" t="s">
        <v>490</v>
      </c>
      <c r="O140" s="762">
        <f>IF(AND(O137&gt;0,SSAPhaseDownCheckbox="X",SmallIsolatedPSD8Checkbox="X"),Y143,IF(AND(O137&gt;0,SSAPhaseDownCheckbox="X",SmallIsolatedPSD8Checkbox&lt;&gt;"X"),Z143,0))</f>
        <v>0</v>
      </c>
      <c r="U140" s="96" t="s">
        <v>532</v>
      </c>
      <c r="X140" s="1267" t="s">
        <v>490</v>
      </c>
      <c r="Y140" s="762">
        <v>5.0000000000000001E-4</v>
      </c>
      <c r="Z140" s="762">
        <v>2.9999999999999997E-4</v>
      </c>
    </row>
    <row r="141" spans="1:33">
      <c r="C141" s="120" t="s">
        <v>500</v>
      </c>
      <c r="D141" s="874" t="s">
        <v>533</v>
      </c>
      <c r="N141" s="5" t="s">
        <v>489</v>
      </c>
      <c r="O141" s="762">
        <f>ROUND(O139*O140,3)</f>
        <v>0</v>
      </c>
      <c r="U141" s="96" t="s">
        <v>534</v>
      </c>
      <c r="X141" s="1267" t="s">
        <v>489</v>
      </c>
      <c r="Y141" s="762">
        <f>Y139*Y140</f>
        <v>0</v>
      </c>
      <c r="Z141" s="762">
        <f>Z139*Z140</f>
        <v>0</v>
      </c>
    </row>
    <row r="142" spans="1:33">
      <c r="C142" s="120" t="s">
        <v>501</v>
      </c>
      <c r="D142" s="874" t="s">
        <v>1061</v>
      </c>
      <c r="N142" s="5" t="s">
        <v>490</v>
      </c>
      <c r="O142" s="799">
        <f>IF(O137&gt;0,'Data Entry'!L65,0)</f>
        <v>0</v>
      </c>
      <c r="U142" s="96" t="s">
        <v>535</v>
      </c>
      <c r="X142" s="1267" t="s">
        <v>491</v>
      </c>
      <c r="Y142" s="824">
        <v>1.3580000000000001</v>
      </c>
      <c r="Z142" s="824">
        <v>1.278</v>
      </c>
    </row>
    <row r="143" spans="1:33">
      <c r="C143" s="120" t="s">
        <v>502</v>
      </c>
      <c r="D143" s="874" t="s">
        <v>536</v>
      </c>
      <c r="P143" s="5" t="s">
        <v>487</v>
      </c>
      <c r="Q143" s="864" t="s">
        <v>274</v>
      </c>
      <c r="R143" s="865">
        <f>ROUND(O141*O142,2)</f>
        <v>0</v>
      </c>
      <c r="T143" s="96" t="s">
        <v>1291</v>
      </c>
      <c r="X143" s="1267" t="s">
        <v>489</v>
      </c>
      <c r="Y143" s="762">
        <f>IF(Y138&gt;0,Y141+Y142,0)</f>
        <v>0</v>
      </c>
      <c r="Z143" s="762">
        <f>IF(Z138&gt;0,Z141+Z142,0)</f>
        <v>0</v>
      </c>
    </row>
    <row r="144" spans="1:33">
      <c r="C144" s="120" t="s">
        <v>503</v>
      </c>
      <c r="D144" s="874" t="s">
        <v>537</v>
      </c>
      <c r="Q144" s="864" t="s">
        <v>274</v>
      </c>
      <c r="R144" s="865">
        <f>IF(O137&gt;0,R136-R143,0)</f>
        <v>0</v>
      </c>
    </row>
    <row r="146" spans="1:26" ht="23.25" customHeight="1">
      <c r="A146" s="119"/>
      <c r="B146" s="811" t="s">
        <v>8</v>
      </c>
      <c r="C146" s="1770" t="s">
        <v>538</v>
      </c>
      <c r="D146" s="1770"/>
      <c r="E146" s="1770"/>
      <c r="F146" s="1770"/>
      <c r="G146" s="1770"/>
      <c r="H146" s="1770"/>
      <c r="I146" s="1770"/>
      <c r="J146" s="1770"/>
      <c r="K146" s="1770"/>
      <c r="L146" s="1770"/>
      <c r="M146" s="1770"/>
      <c r="N146" s="1770"/>
      <c r="O146" s="1770"/>
      <c r="P146" s="1770"/>
      <c r="Q146" s="1770"/>
      <c r="R146" s="1295"/>
      <c r="W146" s="116"/>
      <c r="Y146" s="210" t="s">
        <v>525</v>
      </c>
    </row>
    <row r="147" spans="1:26">
      <c r="C147" s="120" t="s">
        <v>377</v>
      </c>
      <c r="D147" s="874" t="s">
        <v>526</v>
      </c>
      <c r="Q147" s="864" t="s">
        <v>274</v>
      </c>
      <c r="R147" s="865">
        <v>350000</v>
      </c>
      <c r="T147" s="1880" t="s">
        <v>539</v>
      </c>
      <c r="U147" s="1880"/>
      <c r="Y147" s="748" t="s">
        <v>528</v>
      </c>
      <c r="Z147" s="210" t="s">
        <v>525</v>
      </c>
    </row>
    <row r="148" spans="1:26">
      <c r="C148" s="120" t="s">
        <v>378</v>
      </c>
      <c r="D148" s="3" t="s">
        <v>1292</v>
      </c>
      <c r="O148" s="762">
        <f>IF(AND(SSAPhaseDownCheckbox="X",SSAFYExceeded&lt;2000,UnweightedStudCnt912PY&gt;100,UnweightedStudCnt912PY&lt;176),UnweightedStudCnt912PY,0)</f>
        <v>0</v>
      </c>
      <c r="T148" s="96" t="s">
        <v>529</v>
      </c>
      <c r="Y148" s="762">
        <v>500</v>
      </c>
      <c r="Z148" s="762">
        <v>500</v>
      </c>
    </row>
    <row r="149" spans="1:26">
      <c r="C149" s="120" t="s">
        <v>379</v>
      </c>
      <c r="D149" s="874" t="s">
        <v>530</v>
      </c>
      <c r="N149" s="5" t="s">
        <v>487</v>
      </c>
      <c r="O149" s="762">
        <v>100</v>
      </c>
      <c r="T149" s="96" t="s">
        <v>1293</v>
      </c>
      <c r="X149" s="1267" t="s">
        <v>487</v>
      </c>
      <c r="Y149" s="762">
        <f>IF(AND(SSAPhaseDownCheckbox="X",SmallIsolated912Checkbox="X"),O148,0)</f>
        <v>0</v>
      </c>
      <c r="Z149" s="762">
        <f>IF(AND(SSAPhaseDownCheckbox="X",SmallIsolated912Checkbox&lt;&gt;"X"),O148,0)</f>
        <v>0</v>
      </c>
    </row>
    <row r="150" spans="1:26">
      <c r="C150" s="120" t="s">
        <v>464</v>
      </c>
      <c r="D150" s="874" t="s">
        <v>531</v>
      </c>
      <c r="N150" s="5" t="s">
        <v>489</v>
      </c>
      <c r="O150" s="762">
        <f>IF(O148&gt;0,O148-O149,0)</f>
        <v>0</v>
      </c>
      <c r="U150" s="96" t="s">
        <v>488</v>
      </c>
      <c r="X150" s="1267" t="s">
        <v>489</v>
      </c>
      <c r="Y150" s="762">
        <f>IF(Y149&gt;0,Y148-Y149,0)</f>
        <v>0</v>
      </c>
      <c r="Z150" s="762">
        <f>IF(Z149&gt;0,Z148-Z149,0)</f>
        <v>0</v>
      </c>
    </row>
    <row r="151" spans="1:26">
      <c r="C151" s="120" t="s">
        <v>499</v>
      </c>
      <c r="D151" s="874" t="s">
        <v>540</v>
      </c>
      <c r="N151" s="5" t="s">
        <v>490</v>
      </c>
      <c r="O151" s="762">
        <f>IF(AND(O148&gt;0,SSAPhaseDownCheckbox="X",SmallIsolatedPSD8Checkbox="X"),Y154,IF(AND(O148&gt;0,SSAPhaseDownCheckbox="X",SmallIsolatedPSD8Checkbox&lt;&gt;"X"),Z154,0))</f>
        <v>0</v>
      </c>
      <c r="U151" s="96" t="s">
        <v>532</v>
      </c>
      <c r="X151" s="1267" t="s">
        <v>490</v>
      </c>
      <c r="Y151" s="762">
        <v>5.0000000000000001E-4</v>
      </c>
      <c r="Z151" s="762">
        <v>4.0000000000000002E-4</v>
      </c>
    </row>
    <row r="152" spans="1:26">
      <c r="C152" s="120" t="s">
        <v>500</v>
      </c>
      <c r="D152" s="874" t="s">
        <v>533</v>
      </c>
      <c r="N152" s="5" t="s">
        <v>489</v>
      </c>
      <c r="O152" s="762">
        <f>ROUND(O150*O151,30)</f>
        <v>0</v>
      </c>
      <c r="U152" s="96" t="s">
        <v>534</v>
      </c>
      <c r="X152" s="1267" t="s">
        <v>489</v>
      </c>
      <c r="Y152" s="762">
        <f>Y150*Y151</f>
        <v>0</v>
      </c>
      <c r="Z152" s="762">
        <f>Z150*Z151</f>
        <v>0</v>
      </c>
    </row>
    <row r="153" spans="1:26">
      <c r="C153" s="120" t="s">
        <v>501</v>
      </c>
      <c r="D153" s="874" t="s">
        <v>1061</v>
      </c>
      <c r="N153" s="5" t="s">
        <v>490</v>
      </c>
      <c r="O153" s="799">
        <f>IF(O148&gt;0,'Data Entry'!L65,0)</f>
        <v>0</v>
      </c>
      <c r="U153" s="96" t="s">
        <v>535</v>
      </c>
      <c r="X153" s="1267" t="s">
        <v>491</v>
      </c>
      <c r="Y153" s="824">
        <v>1.468</v>
      </c>
      <c r="Z153" s="824">
        <v>1.3979999999999999</v>
      </c>
    </row>
    <row r="154" spans="1:26">
      <c r="C154" s="120" t="s">
        <v>502</v>
      </c>
      <c r="D154" s="874" t="s">
        <v>536</v>
      </c>
      <c r="P154" s="96" t="s">
        <v>487</v>
      </c>
      <c r="Q154" s="864" t="s">
        <v>274</v>
      </c>
      <c r="R154" s="865">
        <f>ROUND(O152*O153,2)</f>
        <v>0</v>
      </c>
      <c r="T154" s="96" t="s">
        <v>1294</v>
      </c>
      <c r="X154" s="1267" t="s">
        <v>489</v>
      </c>
      <c r="Y154" s="762">
        <f>IF(Y149&gt;0,Y152+Y153,0)</f>
        <v>0</v>
      </c>
      <c r="Z154" s="762">
        <f>IF(Z149&gt;0,Z152+Z153,0)</f>
        <v>0</v>
      </c>
    </row>
    <row r="155" spans="1:26">
      <c r="C155" s="120" t="s">
        <v>503</v>
      </c>
      <c r="D155" s="874" t="s">
        <v>541</v>
      </c>
      <c r="Q155" s="864" t="s">
        <v>274</v>
      </c>
      <c r="R155" s="865">
        <f>IF(O148&gt;0,R147-R154,0)</f>
        <v>0</v>
      </c>
    </row>
    <row r="157" spans="1:26" ht="23.25" customHeight="1">
      <c r="A157" s="119"/>
      <c r="B157" s="1496" t="s">
        <v>22</v>
      </c>
      <c r="C157" s="1770" t="s">
        <v>542</v>
      </c>
      <c r="D157" s="1770"/>
      <c r="E157" s="1770"/>
      <c r="F157" s="1770"/>
      <c r="G157" s="1770"/>
      <c r="H157" s="1770"/>
      <c r="I157" s="1770"/>
      <c r="J157" s="1770"/>
      <c r="K157" s="1770"/>
      <c r="L157" s="1770"/>
      <c r="M157" s="1770"/>
      <c r="N157" s="1770"/>
      <c r="O157" s="1770"/>
      <c r="P157" s="1295"/>
      <c r="Q157" s="864" t="s">
        <v>274</v>
      </c>
      <c r="R157" s="865">
        <f>SSAPDRCL10</f>
        <v>0</v>
      </c>
    </row>
    <row r="158" spans="1:26">
      <c r="B158" s="207" t="s">
        <v>40</v>
      </c>
      <c r="C158" s="96" t="s">
        <v>543</v>
      </c>
      <c r="Q158" s="864" t="s">
        <v>274</v>
      </c>
      <c r="R158" s="865">
        <f>R144+R155+R157</f>
        <v>0</v>
      </c>
    </row>
    <row r="159" spans="1:26">
      <c r="B159" s="207" t="s">
        <v>98</v>
      </c>
      <c r="C159" s="96" t="s">
        <v>544</v>
      </c>
      <c r="Q159" s="864" t="s">
        <v>274</v>
      </c>
      <c r="R159" s="865">
        <f>IF(R158&gt;0,RCL*0.1,0)</f>
        <v>0</v>
      </c>
    </row>
    <row r="160" spans="1:26">
      <c r="B160" s="207" t="s">
        <v>99</v>
      </c>
      <c r="C160" s="96" t="s">
        <v>545</v>
      </c>
      <c r="Q160" s="864" t="s">
        <v>274</v>
      </c>
      <c r="R160" s="865">
        <f>MAX(R158,R159)</f>
        <v>0</v>
      </c>
    </row>
    <row r="163" spans="1:32" ht="30" customHeight="1">
      <c r="A163" s="1881" t="s">
        <v>546</v>
      </c>
      <c r="B163" s="1881"/>
      <c r="C163" s="1881"/>
      <c r="D163" s="1881"/>
      <c r="E163" s="1881"/>
      <c r="F163" s="1881"/>
      <c r="G163" s="1881"/>
      <c r="H163" s="1881"/>
      <c r="I163" s="1881"/>
      <c r="J163" s="1881"/>
      <c r="K163" s="1881"/>
      <c r="L163" s="1881"/>
      <c r="M163" s="1881"/>
      <c r="N163" s="1881"/>
      <c r="O163" s="1881"/>
      <c r="P163" s="1881"/>
      <c r="Q163" s="1881"/>
      <c r="R163" s="1881"/>
    </row>
    <row r="165" spans="1:32" ht="34.5" customHeight="1">
      <c r="A165" s="1858" t="s">
        <v>547</v>
      </c>
      <c r="B165" s="1858"/>
      <c r="C165" s="1858"/>
      <c r="D165" s="1858"/>
      <c r="E165" s="1858"/>
      <c r="F165" s="1858"/>
      <c r="G165" s="1858"/>
      <c r="H165" s="1858"/>
      <c r="I165" s="1858"/>
      <c r="J165" s="1858"/>
      <c r="K165" s="1858"/>
      <c r="L165" s="1858"/>
      <c r="M165" s="1858"/>
      <c r="N165" s="1858"/>
      <c r="O165" s="1858"/>
      <c r="P165" s="1858"/>
      <c r="Q165" s="1858"/>
      <c r="R165" s="1858"/>
    </row>
    <row r="167" spans="1:32" ht="34.5" customHeight="1">
      <c r="A167" s="1633" t="s">
        <v>1295</v>
      </c>
      <c r="B167" s="1633"/>
      <c r="C167" s="1633"/>
      <c r="D167" s="1633"/>
      <c r="E167" s="1633"/>
      <c r="F167" s="1633"/>
      <c r="G167" s="1633"/>
      <c r="H167" s="1633"/>
      <c r="I167" s="1633"/>
      <c r="J167" s="1633"/>
      <c r="K167" s="1633"/>
      <c r="L167" s="1633"/>
      <c r="M167" s="1633"/>
      <c r="N167" s="1633"/>
      <c r="O167" s="1633"/>
      <c r="P167" s="1633"/>
      <c r="Q167" s="1633"/>
      <c r="R167" s="1633"/>
      <c r="S167" s="443"/>
      <c r="AF167" s="1205" t="s">
        <v>901</v>
      </c>
    </row>
    <row r="169" spans="1:32">
      <c r="B169" s="207" t="s">
        <v>6</v>
      </c>
      <c r="C169" s="96" t="s">
        <v>548</v>
      </c>
    </row>
    <row r="170" spans="1:32">
      <c r="C170" s="191" t="s">
        <v>377</v>
      </c>
      <c r="D170" s="96" t="s">
        <v>1289</v>
      </c>
      <c r="O170" s="762">
        <f>IF(AND(SSAPhaseDownCheckbox="X",SSAFYExceeded&gt;=2000,UnweightedStudCntK8PY&gt;125,UnweightedStudCntK8PY&lt;181),UnweightedStudCntK8PY,0)</f>
        <v>0</v>
      </c>
    </row>
    <row r="171" spans="1:32">
      <c r="C171" s="1267" t="s">
        <v>378</v>
      </c>
      <c r="D171" s="96" t="s">
        <v>530</v>
      </c>
      <c r="N171" s="5" t="s">
        <v>487</v>
      </c>
      <c r="O171" s="762">
        <v>125</v>
      </c>
    </row>
    <row r="172" spans="1:32">
      <c r="C172" s="1267" t="s">
        <v>379</v>
      </c>
      <c r="D172" s="96" t="s">
        <v>531</v>
      </c>
      <c r="N172" s="5" t="s">
        <v>489</v>
      </c>
      <c r="O172" s="762">
        <f>IF(O170&gt;0,O170-O171,0)</f>
        <v>0</v>
      </c>
    </row>
    <row r="173" spans="1:32">
      <c r="C173" s="1267" t="s">
        <v>464</v>
      </c>
      <c r="D173" s="96" t="s">
        <v>549</v>
      </c>
      <c r="N173" s="5" t="s">
        <v>490</v>
      </c>
      <c r="O173" s="762">
        <v>4.4999999999999997E-3</v>
      </c>
    </row>
    <row r="174" spans="1:32">
      <c r="C174" s="1267" t="s">
        <v>499</v>
      </c>
      <c r="D174" s="96" t="s">
        <v>550</v>
      </c>
      <c r="N174" s="5" t="s">
        <v>489</v>
      </c>
      <c r="O174" s="762">
        <f>ROUND(O172*O173,3)</f>
        <v>0</v>
      </c>
    </row>
    <row r="175" spans="1:32">
      <c r="C175" s="1267" t="s">
        <v>500</v>
      </c>
      <c r="D175" s="96" t="s">
        <v>551</v>
      </c>
      <c r="N175" s="5"/>
      <c r="O175" s="762">
        <f>IF(O170&gt;0,0.35-O174,0)</f>
        <v>0</v>
      </c>
    </row>
    <row r="176" spans="1:32">
      <c r="C176" s="1267" t="s">
        <v>501</v>
      </c>
      <c r="D176" s="1197" t="s">
        <v>552</v>
      </c>
      <c r="E176" s="1198"/>
      <c r="F176" s="1198"/>
      <c r="N176" s="5" t="s">
        <v>490</v>
      </c>
      <c r="O176" s="799">
        <f>IF(O170&gt;0,DSLRCLPSD8,0)</f>
        <v>0</v>
      </c>
    </row>
    <row r="177" spans="2:25">
      <c r="C177" s="1267" t="s">
        <v>502</v>
      </c>
      <c r="D177" s="96" t="s">
        <v>1174</v>
      </c>
      <c r="Q177" s="864" t="s">
        <v>274</v>
      </c>
      <c r="R177" s="865">
        <f>IF(O175*O176&gt;0,ROUND(O175*O176,2),0)</f>
        <v>0</v>
      </c>
    </row>
    <row r="179" spans="2:25">
      <c r="B179" s="207" t="s">
        <v>8</v>
      </c>
      <c r="C179" s="96" t="s">
        <v>553</v>
      </c>
    </row>
    <row r="180" spans="2:25">
      <c r="C180" s="191" t="s">
        <v>377</v>
      </c>
      <c r="D180" s="96" t="s">
        <v>1292</v>
      </c>
      <c r="O180" s="762">
        <f>IF(AND(SSAPhaseDownCheckbox="X",SSAFYExceeded&gt;=2000,UnweightedStudCnt912PY&gt;100,UnweightedStudCnt912PY&lt;185),UnweightedStudCnt912PY,0)</f>
        <v>0</v>
      </c>
    </row>
    <row r="181" spans="2:25">
      <c r="C181" s="1267" t="s">
        <v>378</v>
      </c>
      <c r="D181" s="96" t="s">
        <v>530</v>
      </c>
      <c r="N181" s="5" t="s">
        <v>487</v>
      </c>
      <c r="O181" s="762">
        <v>100</v>
      </c>
    </row>
    <row r="182" spans="2:25">
      <c r="C182" s="1267" t="s">
        <v>379</v>
      </c>
      <c r="D182" s="96" t="s">
        <v>531</v>
      </c>
      <c r="N182" s="5" t="s">
        <v>489</v>
      </c>
      <c r="O182" s="762">
        <f>IF(O180&gt;0,O180-O181,0)</f>
        <v>0</v>
      </c>
    </row>
    <row r="183" spans="2:25">
      <c r="C183" s="1267" t="s">
        <v>464</v>
      </c>
      <c r="D183" s="96" t="s">
        <v>549</v>
      </c>
      <c r="N183" s="5" t="s">
        <v>490</v>
      </c>
      <c r="O183" s="762">
        <v>6.4999999999999997E-3</v>
      </c>
    </row>
    <row r="184" spans="2:25">
      <c r="C184" s="1267" t="s">
        <v>499</v>
      </c>
      <c r="D184" s="96" t="s">
        <v>550</v>
      </c>
      <c r="N184" s="5" t="s">
        <v>489</v>
      </c>
      <c r="O184" s="762">
        <f>ROUND(O182*O183,3)</f>
        <v>0</v>
      </c>
    </row>
    <row r="185" spans="2:25">
      <c r="C185" s="1267" t="s">
        <v>500</v>
      </c>
      <c r="D185" s="96" t="s">
        <v>1175</v>
      </c>
      <c r="N185" s="5"/>
      <c r="O185" s="762">
        <f>IF(O180&gt;0,0.65-O184,0)</f>
        <v>0</v>
      </c>
    </row>
    <row r="186" spans="2:25">
      <c r="C186" s="1267" t="s">
        <v>501</v>
      </c>
      <c r="D186" s="875" t="s">
        <v>554</v>
      </c>
      <c r="E186" s="875"/>
      <c r="F186" s="875"/>
      <c r="N186" s="5" t="s">
        <v>490</v>
      </c>
      <c r="O186" s="799">
        <f>IF(O180&gt;0,DSLRCL912,0)</f>
        <v>0</v>
      </c>
    </row>
    <row r="187" spans="2:25">
      <c r="C187" s="1267" t="s">
        <v>502</v>
      </c>
      <c r="D187" s="96" t="s">
        <v>1176</v>
      </c>
      <c r="Q187" s="864" t="s">
        <v>274</v>
      </c>
      <c r="R187" s="865">
        <f>IF(O185*O186&gt;0,ROUND(O185*O186,2),0)</f>
        <v>0</v>
      </c>
    </row>
    <row r="188" spans="2:25">
      <c r="U188" s="1808" t="s">
        <v>1177</v>
      </c>
      <c r="V188" s="1808"/>
      <c r="W188" s="1808"/>
      <c r="X188" s="1808"/>
      <c r="Y188" s="204"/>
    </row>
    <row r="189" spans="2:25" ht="23.25" customHeight="1">
      <c r="B189" s="1496" t="s">
        <v>22</v>
      </c>
      <c r="C189" s="1770" t="s">
        <v>542</v>
      </c>
      <c r="D189" s="1770"/>
      <c r="E189" s="1770"/>
      <c r="F189" s="1770"/>
      <c r="G189" s="1770"/>
      <c r="H189" s="1770"/>
      <c r="I189" s="1770"/>
      <c r="J189" s="1770"/>
      <c r="K189" s="1770"/>
      <c r="L189" s="1770"/>
      <c r="M189" s="1770"/>
      <c r="N189" s="1770"/>
      <c r="O189" s="1770"/>
      <c r="Q189" s="864" t="s">
        <v>274</v>
      </c>
      <c r="R189" s="865">
        <f>SSAPDRCL10</f>
        <v>0</v>
      </c>
      <c r="U189" s="1882" t="s">
        <v>555</v>
      </c>
      <c r="V189" s="1883"/>
      <c r="W189" s="1883"/>
      <c r="X189" s="1884"/>
      <c r="Y189" s="95">
        <f>IF(AND(SSAPhaseDownCheckbox="X",SSAFYExceeded&gt;=2000,UnweightedStudCnt912PY&gt;100,UnweightedStudCnt912PY&lt;185),('BSA55'!G144*RCL),0)</f>
        <v>0</v>
      </c>
    </row>
    <row r="190" spans="2:25">
      <c r="B190" s="207" t="s">
        <v>40</v>
      </c>
      <c r="C190" s="295" t="s">
        <v>1178</v>
      </c>
      <c r="D190" s="295"/>
      <c r="E190" s="295"/>
      <c r="F190" s="295"/>
      <c r="G190" s="295"/>
      <c r="H190" s="295"/>
      <c r="I190" s="295"/>
      <c r="J190" s="500"/>
      <c r="Q190" s="864" t="s">
        <v>274</v>
      </c>
      <c r="R190" s="865">
        <f>R177+R187+R189</f>
        <v>0</v>
      </c>
      <c r="U190" s="1882" t="s">
        <v>556</v>
      </c>
      <c r="V190" s="1883"/>
      <c r="W190" s="1883"/>
      <c r="X190" s="1884"/>
      <c r="Y190" s="876">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7" t="s">
        <v>98</v>
      </c>
      <c r="C191" s="96" t="s">
        <v>544</v>
      </c>
      <c r="Q191" s="864" t="s">
        <v>274</v>
      </c>
      <c r="R191" s="865">
        <f>IF(R190&gt;0,DSLRCLTotal*0.1,0)</f>
        <v>0</v>
      </c>
      <c r="U191" s="1882" t="s">
        <v>557</v>
      </c>
      <c r="V191" s="1883"/>
      <c r="W191" s="1883"/>
      <c r="X191" s="1884"/>
      <c r="Y191" s="95">
        <f>IF(AND(SSAPhaseDownCheckbox="X",SSAFYExceeded&gt;=2000,UnweightedStudCnt912PY&gt;100,UnweightedStudCnt912PY&lt;185),RCL,0)</f>
        <v>0</v>
      </c>
    </row>
    <row r="192" spans="2:25" ht="12.75" customHeight="1">
      <c r="B192" s="207" t="s">
        <v>99</v>
      </c>
      <c r="C192" s="295" t="s">
        <v>1179</v>
      </c>
      <c r="Q192" s="864" t="s">
        <v>274</v>
      </c>
      <c r="R192" s="865">
        <f>MAX(R190,R191)</f>
        <v>0</v>
      </c>
      <c r="U192" s="1882" t="s">
        <v>558</v>
      </c>
      <c r="V192" s="1883"/>
      <c r="W192" s="1883"/>
      <c r="X192" s="1884"/>
      <c r="Y192" s="95">
        <f>Y190*Y191</f>
        <v>0</v>
      </c>
    </row>
    <row r="193" spans="1:25">
      <c r="U193" s="1882" t="s">
        <v>559</v>
      </c>
      <c r="V193" s="1883"/>
      <c r="W193" s="1883"/>
      <c r="X193" s="1884"/>
      <c r="Y193" s="877">
        <f>Y189-Y192</f>
        <v>0</v>
      </c>
    </row>
    <row r="194" spans="1:25">
      <c r="U194" s="1882" t="s">
        <v>560</v>
      </c>
      <c r="V194" s="1883"/>
      <c r="W194" s="1883"/>
      <c r="X194" s="1884"/>
      <c r="Y194" s="877">
        <f>Y193*0.1</f>
        <v>0</v>
      </c>
    </row>
    <row r="197" spans="1:25" ht="31.5" customHeight="1">
      <c r="A197" s="1860" t="s">
        <v>561</v>
      </c>
      <c r="B197" s="1860"/>
      <c r="C197" s="1860"/>
      <c r="D197" s="1860"/>
      <c r="E197" s="1860"/>
      <c r="F197" s="1860"/>
      <c r="G197" s="1860"/>
      <c r="H197" s="1860"/>
      <c r="I197" s="1860"/>
      <c r="J197" s="1860"/>
      <c r="K197" s="1860"/>
      <c r="L197" s="1860"/>
      <c r="M197" s="1860"/>
      <c r="N197" s="1860"/>
      <c r="O197" s="1860"/>
      <c r="P197" s="1860"/>
      <c r="Q197" s="1860"/>
      <c r="R197" s="1860"/>
      <c r="S197" s="1860"/>
    </row>
    <row r="199" spans="1:25" ht="24.75" customHeight="1">
      <c r="B199" s="1858" t="s">
        <v>562</v>
      </c>
      <c r="C199" s="1858"/>
      <c r="D199" s="1858"/>
      <c r="E199" s="1858"/>
      <c r="F199" s="1858"/>
      <c r="G199" s="1858"/>
      <c r="H199" s="1858"/>
      <c r="I199" s="1858"/>
      <c r="J199" s="1858"/>
      <c r="K199" s="1858"/>
      <c r="L199" s="1858"/>
      <c r="M199" s="1858"/>
      <c r="N199" s="1858"/>
      <c r="O199" s="1858"/>
      <c r="P199" s="1858"/>
      <c r="Q199" s="1858"/>
      <c r="R199" s="1858"/>
    </row>
    <row r="201" spans="1:25">
      <c r="B201" s="207" t="s">
        <v>6</v>
      </c>
      <c r="C201" s="96" t="s">
        <v>473</v>
      </c>
      <c r="R201" s="799">
        <f>'Data Entry'!L128</f>
        <v>0</v>
      </c>
    </row>
    <row r="202" spans="1:25">
      <c r="B202" s="207" t="s">
        <v>8</v>
      </c>
      <c r="C202" s="96" t="s">
        <v>563</v>
      </c>
      <c r="Q202" s="96" t="s">
        <v>490</v>
      </c>
      <c r="R202" s="799">
        <v>0.05</v>
      </c>
    </row>
    <row r="203" spans="1:25">
      <c r="B203" s="207" t="s">
        <v>22</v>
      </c>
      <c r="C203" s="96" t="s">
        <v>564</v>
      </c>
      <c r="Q203" s="96" t="s">
        <v>489</v>
      </c>
      <c r="R203" s="824">
        <f>IF(R201&gt;0,R201*R202,0)</f>
        <v>0</v>
      </c>
    </row>
    <row r="204" spans="1:25" ht="23.25" customHeight="1">
      <c r="B204" s="811" t="s">
        <v>40</v>
      </c>
      <c r="C204" s="1633" t="s">
        <v>565</v>
      </c>
      <c r="D204" s="1633"/>
      <c r="E204" s="1633"/>
      <c r="F204" s="1633"/>
      <c r="G204" s="1633"/>
      <c r="H204" s="1633"/>
      <c r="I204" s="1633"/>
      <c r="J204" s="1633"/>
      <c r="K204" s="1633"/>
      <c r="L204" s="1633"/>
      <c r="R204" s="824">
        <f>'Data Entry'!L129</f>
        <v>0</v>
      </c>
    </row>
    <row r="206" spans="1:25">
      <c r="B206" s="116" t="s">
        <v>566</v>
      </c>
    </row>
    <row r="208" spans="1:25">
      <c r="B208" s="207" t="s">
        <v>98</v>
      </c>
      <c r="C208" s="878" t="s">
        <v>567</v>
      </c>
      <c r="R208" s="799">
        <f>'Data Entry'!L130</f>
        <v>0</v>
      </c>
    </row>
    <row r="209" spans="2:18">
      <c r="B209" s="207" t="s">
        <v>99</v>
      </c>
      <c r="C209" s="878" t="s">
        <v>568</v>
      </c>
      <c r="Q209" s="5" t="s">
        <v>487</v>
      </c>
      <c r="R209" s="799">
        <f>'Data Entry'!L131</f>
        <v>0</v>
      </c>
    </row>
    <row r="210" spans="2:18">
      <c r="B210" s="207" t="s">
        <v>100</v>
      </c>
      <c r="C210" s="878" t="s">
        <v>569</v>
      </c>
      <c r="Q210" s="96" t="s">
        <v>489</v>
      </c>
      <c r="R210" s="799">
        <f>IF(R208-R209&gt;0,R208-R209,0)</f>
        <v>0</v>
      </c>
    </row>
    <row r="211" spans="2:18">
      <c r="B211" s="207" t="s">
        <v>102</v>
      </c>
      <c r="C211" s="878" t="s">
        <v>570</v>
      </c>
      <c r="L211" s="1267" t="s">
        <v>571</v>
      </c>
      <c r="N211" s="1267" t="s">
        <v>490</v>
      </c>
      <c r="O211" s="799">
        <v>0.75</v>
      </c>
      <c r="Q211" s="96" t="s">
        <v>489</v>
      </c>
      <c r="R211" s="799">
        <f>IF(OR(Cover!FiscalYear='Data Entry'!L127+1,Cover!FiscalYear='Data Entry'!L127+2,Cover!FiscalYear='Data Entry'!L127+3),R210*O211,0)</f>
        <v>0</v>
      </c>
    </row>
    <row r="212" spans="2:18">
      <c r="B212" s="207" t="s">
        <v>103</v>
      </c>
      <c r="C212" s="878" t="s">
        <v>572</v>
      </c>
      <c r="L212" s="1267" t="s">
        <v>573</v>
      </c>
      <c r="N212" s="1267" t="s">
        <v>490</v>
      </c>
      <c r="O212" s="799">
        <v>0.5</v>
      </c>
      <c r="Q212" s="96" t="s">
        <v>489</v>
      </c>
      <c r="R212" s="799">
        <f>IF(OR(Cover!FiscalYear='Data Entry'!L127+2,Cover!FiscalYear='Data Entry'!L127+3),R210*O211,0)</f>
        <v>0</v>
      </c>
    </row>
    <row r="213" spans="2:18">
      <c r="B213" s="207" t="s">
        <v>104</v>
      </c>
      <c r="C213" s="878" t="s">
        <v>574</v>
      </c>
      <c r="L213" s="1267" t="s">
        <v>575</v>
      </c>
      <c r="N213" s="1267" t="s">
        <v>490</v>
      </c>
      <c r="O213" s="799">
        <v>0.25</v>
      </c>
      <c r="Q213" s="96" t="s">
        <v>489</v>
      </c>
      <c r="R213" s="799">
        <f>IF(Cover!FiscalYear='Data Entry'!L127+3,R210*O211,0)</f>
        <v>0</v>
      </c>
    </row>
    <row r="214" spans="2:18">
      <c r="B214" s="207" t="s">
        <v>105</v>
      </c>
      <c r="C214" s="878" t="s">
        <v>576</v>
      </c>
      <c r="R214" s="799">
        <f>R211+R212+R213</f>
        <v>0</v>
      </c>
    </row>
    <row r="215" spans="2:18">
      <c r="C215" s="878"/>
    </row>
    <row r="216" spans="2:18" ht="34.5" customHeight="1">
      <c r="B216" s="1858" t="s">
        <v>577</v>
      </c>
      <c r="C216" s="1858"/>
      <c r="D216" s="1858"/>
      <c r="E216" s="1858"/>
      <c r="F216" s="1858"/>
      <c r="G216" s="1858"/>
      <c r="H216" s="1858"/>
      <c r="I216" s="1858"/>
      <c r="J216" s="1858"/>
      <c r="K216" s="1858"/>
      <c r="L216" s="1858"/>
      <c r="M216" s="1858"/>
      <c r="N216" s="1858"/>
      <c r="O216" s="1858"/>
      <c r="P216" s="1858"/>
      <c r="Q216" s="1858"/>
      <c r="R216" s="1858"/>
    </row>
    <row r="218" spans="2:18">
      <c r="B218" s="207" t="s">
        <v>106</v>
      </c>
      <c r="C218" s="96" t="s">
        <v>578</v>
      </c>
    </row>
    <row r="219" spans="2:18">
      <c r="C219" s="1267" t="s">
        <v>377</v>
      </c>
      <c r="D219" s="878" t="s">
        <v>579</v>
      </c>
      <c r="Q219" s="864" t="s">
        <v>274</v>
      </c>
      <c r="R219" s="865">
        <f>IF(AND('Data Entry'!C133="X",'Data Entry'!L129&gt;=500,Cover!FiscalYear='Data Entry'!L127+1),650000,0)</f>
        <v>0</v>
      </c>
    </row>
    <row r="220" spans="2:18">
      <c r="C220" s="1267" t="s">
        <v>378</v>
      </c>
      <c r="D220" s="878" t="s">
        <v>580</v>
      </c>
      <c r="Q220" s="864" t="s">
        <v>274</v>
      </c>
      <c r="R220" s="865">
        <f>IF(AND('Data Entry'!C133="X",'Data Entry'!L129&gt;=500,Cover!FiscalYear='Data Entry'!L127+2),600000,0)</f>
        <v>0</v>
      </c>
    </row>
    <row r="221" spans="2:18">
      <c r="C221" s="1267" t="s">
        <v>379</v>
      </c>
      <c r="D221" s="878" t="s">
        <v>581</v>
      </c>
      <c r="Q221" s="864" t="s">
        <v>274</v>
      </c>
      <c r="R221" s="865">
        <f>IF(AND('Data Entry'!C133="X",'Data Entry'!L129&gt;=500,Cover!FiscalYear='Data Entry'!L127+3),500000,0)</f>
        <v>0</v>
      </c>
    </row>
    <row r="222" spans="2:18">
      <c r="C222" s="1267" t="s">
        <v>464</v>
      </c>
      <c r="D222" s="878" t="s">
        <v>582</v>
      </c>
      <c r="Q222" s="864" t="s">
        <v>274</v>
      </c>
      <c r="R222" s="865">
        <f>IF(AND('Data Entry'!C133="X",'Data Entry'!L129&gt;=500,Cover!FiscalYear='Data Entry'!L127+4),300000,0)</f>
        <v>0</v>
      </c>
    </row>
    <row r="223" spans="2:18">
      <c r="C223" s="1267" t="s">
        <v>499</v>
      </c>
      <c r="D223" s="878" t="s">
        <v>583</v>
      </c>
      <c r="Q223" s="864" t="s">
        <v>274</v>
      </c>
      <c r="R223" s="865">
        <f>IF(AND('Data Entry'!C133="X",'Data Entry'!L129&gt;=500,Cover!FiscalYear='Data Entry'!L127+5),100000,0)</f>
        <v>0</v>
      </c>
    </row>
    <row r="224" spans="2:18">
      <c r="B224" s="207" t="s">
        <v>107</v>
      </c>
      <c r="C224" s="96" t="s">
        <v>584</v>
      </c>
    </row>
    <row r="225" spans="1:18">
      <c r="C225" s="1267" t="s">
        <v>377</v>
      </c>
      <c r="D225" s="878" t="s">
        <v>585</v>
      </c>
      <c r="Q225" s="864" t="s">
        <v>274</v>
      </c>
      <c r="R225" s="865">
        <f>IF(AND(VALUE(LEFT(RIGHT(O1,7),2))=5,'Data Entry'!C133="X",'Data Entry'!L129&gt;=50,Cover!FiscalYear='Data Entry'!L127+1),100000,0)</f>
        <v>0</v>
      </c>
    </row>
    <row r="226" spans="1:18">
      <c r="C226" s="1267" t="s">
        <v>378</v>
      </c>
      <c r="D226" s="878" t="s">
        <v>586</v>
      </c>
      <c r="Q226" s="864" t="s">
        <v>274</v>
      </c>
      <c r="R226" s="865">
        <f>IF(AND(VALUE(LEFT(RIGHT(O1,7),2))=5,'Data Entry'!C133="X",'Data Entry'!L135&gt;=50,Cover!FiscalYear='Data Entry'!L127+2),200000,0)</f>
        <v>0</v>
      </c>
    </row>
    <row r="227" spans="1:18">
      <c r="C227" s="1267" t="s">
        <v>379</v>
      </c>
      <c r="D227" s="878" t="s">
        <v>587</v>
      </c>
      <c r="Q227" s="864" t="s">
        <v>274</v>
      </c>
      <c r="R227" s="865">
        <f>IF(AND(VALUE(LEFT(RIGHT(O1,7),2))=5,'Data Entry'!C133="X",'Data Entry'!L136&gt;=50,Cover!FiscalYear='Data Entry'!L127+3),325000,0)</f>
        <v>0</v>
      </c>
    </row>
    <row r="228" spans="1:18">
      <c r="C228" s="1267" t="s">
        <v>464</v>
      </c>
      <c r="D228" s="878" t="s">
        <v>588</v>
      </c>
      <c r="Q228" s="864" t="s">
        <v>274</v>
      </c>
      <c r="R228" s="865">
        <f>IF(AND(VALUE(LEFT(RIGHT(O1,7),2))=5,'Data Entry'!C133="X",Cover!FiscalYear='Data Entry'!L127+4),200000,0)</f>
        <v>0</v>
      </c>
    </row>
    <row r="229" spans="1:18">
      <c r="C229" s="1267" t="s">
        <v>499</v>
      </c>
      <c r="D229" s="878" t="s">
        <v>589</v>
      </c>
      <c r="Q229" s="864" t="s">
        <v>274</v>
      </c>
      <c r="R229" s="865">
        <f>IF(AND(VALUE(LEFT(RIGHT(O1,7),2))=5,'Data Entry'!C133="X",Cover!FiscalYear='Data Entry'!L127+5),100000,0)</f>
        <v>0</v>
      </c>
    </row>
    <row r="232" spans="1:18" ht="15.75" customHeight="1">
      <c r="A232" s="829" t="s">
        <v>590</v>
      </c>
      <c r="B232" s="829"/>
      <c r="C232" s="829"/>
      <c r="D232" s="829"/>
      <c r="E232" s="829"/>
      <c r="F232" s="829"/>
      <c r="G232" s="829"/>
      <c r="H232" s="829"/>
      <c r="I232" s="829"/>
      <c r="J232" s="829"/>
      <c r="K232" s="829"/>
      <c r="L232" s="829"/>
    </row>
    <row r="233" spans="1:18" ht="8.25" customHeight="1"/>
    <row r="234" spans="1:18">
      <c r="B234" s="207" t="s">
        <v>6</v>
      </c>
      <c r="C234" s="879" t="s">
        <v>591</v>
      </c>
      <c r="Q234" s="864" t="s">
        <v>274</v>
      </c>
      <c r="R234" s="865">
        <f>F001P530</f>
        <v>0</v>
      </c>
    </row>
    <row r="235" spans="1:18">
      <c r="B235" s="207" t="s">
        <v>8</v>
      </c>
      <c r="C235" s="880" t="s">
        <v>592</v>
      </c>
      <c r="Q235" s="864" t="s">
        <v>274</v>
      </c>
      <c r="R235" s="865">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7" t="s">
        <v>22</v>
      </c>
      <c r="C236" s="879" t="s">
        <v>593</v>
      </c>
      <c r="Q236" s="864" t="s">
        <v>274</v>
      </c>
      <c r="R236" s="865">
        <f>'Truth in Tax'!I31</f>
        <v>0</v>
      </c>
    </row>
    <row r="237" spans="1:18">
      <c r="B237" s="207" t="s">
        <v>40</v>
      </c>
      <c r="C237" s="879" t="s">
        <v>594</v>
      </c>
      <c r="Q237" s="864" t="s">
        <v>274</v>
      </c>
      <c r="R237" s="865">
        <f>F001P540</f>
        <v>0</v>
      </c>
    </row>
    <row r="238" spans="1:18">
      <c r="B238" s="207" t="s">
        <v>98</v>
      </c>
      <c r="C238" s="879" t="s">
        <v>595</v>
      </c>
      <c r="Q238" s="864" t="s">
        <v>274</v>
      </c>
      <c r="R238" s="865">
        <f>'Truth in Tax'!I29</f>
        <v>0</v>
      </c>
    </row>
    <row r="239" spans="1:18" ht="23.25" customHeight="1">
      <c r="B239" s="811" t="s">
        <v>99</v>
      </c>
      <c r="C239" s="1633" t="s">
        <v>596</v>
      </c>
      <c r="D239" s="1633"/>
      <c r="E239" s="1633"/>
      <c r="F239" s="1633"/>
      <c r="G239" s="1633"/>
      <c r="H239" s="1633"/>
      <c r="I239" s="1633"/>
      <c r="J239" s="1633"/>
      <c r="K239" s="1633"/>
      <c r="L239" s="1633"/>
      <c r="Q239" s="864" t="s">
        <v>274</v>
      </c>
      <c r="R239" s="865">
        <f>IF(AND(SSA_MO&lt;=50000,OR('Data Entry'!Y29=1,'Data Entry'!Z29=1)),SSA_MO,0)</f>
        <v>0</v>
      </c>
    </row>
  </sheetData>
  <sheetProtection sheet="1" formatCells="0" formatColumns="0" formatRows="0"/>
  <mergeCells count="65">
    <mergeCell ref="U194:X194"/>
    <mergeCell ref="U188:X188"/>
    <mergeCell ref="U189:X189"/>
    <mergeCell ref="U190:X190"/>
    <mergeCell ref="U191:X191"/>
    <mergeCell ref="U192:X192"/>
    <mergeCell ref="U193:X193"/>
    <mergeCell ref="T136:U136"/>
    <mergeCell ref="T147:U147"/>
    <mergeCell ref="C146:Q146"/>
    <mergeCell ref="C157:O157"/>
    <mergeCell ref="A165:R165"/>
    <mergeCell ref="A163:R163"/>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s>
  <hyperlinks>
    <hyperlink ref="D176" r:id="rId1" xr:uid="{00000000-0004-0000-0F00-000000000000}"/>
    <hyperlink ref="D186" r:id="rId2" xr:uid="{00000000-0004-0000-0F00-000001000000}"/>
    <hyperlink ref="B84" location="BUDG75Adj" display="'2." xr:uid="{00000000-0004-0000-0F00-000002000000}"/>
    <hyperlink ref="B90" location="PYTotMOActExpend" display="'8." xr:uid="{00000000-0004-0000-0F00-000003000000}"/>
    <hyperlink ref="B95" location="PYActExpend" display="'10." xr:uid="{00000000-0004-0000-0F00-000004000000}"/>
    <hyperlink ref="C107" location="PYEndMOCash" display="'a." xr:uid="{00000000-0004-0000-0F00-000005000000}"/>
    <hyperlink ref="C112" location="AccommRCL10" display="'b." xr:uid="{00000000-0004-0000-0F00-000006000000}"/>
    <hyperlink ref="C113" location="AccommRCL05" display="'c." xr:uid="{00000000-0004-0000-0F00-000007000000}"/>
    <hyperlink ref="B118" location="CYIARev" display="'1." xr:uid="{00000000-0004-0000-0F00-000008000000}"/>
    <hyperlink ref="B119" location="CYIARevBondDS" display="'2." xr:uid="{00000000-0004-0000-0F00-000009000000}"/>
    <hyperlink ref="B122" location="CYIAMOTRCL" display="'4." xr:uid="{00000000-0004-0000-0F00-00000A000000}"/>
    <hyperlink ref="B123" location="CYIAMOTax" display="'5." xr:uid="{00000000-0004-0000-0F00-00000B000000}"/>
    <hyperlink ref="B124" location="PYIAEndCash" display="'6." xr:uid="{00000000-0004-0000-0F00-00000C000000}"/>
    <hyperlink ref="B157" location="SSAPDRCL10" display="'3." xr:uid="{00000000-0004-0000-0F00-00000D000000}"/>
    <hyperlink ref="B189" location="SSAPDRCL10" display="'3." xr:uid="{00000000-0004-0000-0F00-00000E000000}"/>
    <hyperlink ref="A4" location="CalcGeneral" display="Instructions" xr:uid="{00000000-0004-0000-0F00-00000F000000}"/>
  </hyperlinks>
  <printOptions horizontalCentered="1"/>
  <pageMargins left="0.25" right="0.25" top="0.25" bottom="0.25" header="0" footer="0.15"/>
  <pageSetup paperSize="5" scale="52" fitToWidth="2" fitToHeight="2" orientation="portrait" r:id="rId3"/>
  <headerFooter alignWithMargins="0">
    <oddFooter>&amp;L&amp;"Times New Roman,Bold"&amp;9Rev. 5/26&amp;K000000 Arizona Department of Education and Auditor General&amp;C&amp;"Times New Roman,Regular"&amp;9&amp;D  &amp;T</oddFooter>
  </headerFooter>
  <rowBreaks count="1" manualBreakCount="1">
    <brk id="116" max="1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B346"/>
  <sheetViews>
    <sheetView showGridLines="0" topLeftCell="A4" workbookViewId="0"/>
  </sheetViews>
  <sheetFormatPr defaultColWidth="8.81640625" defaultRowHeight="15" customHeight="1"/>
  <cols>
    <col min="1" max="1" width="34.81640625" style="97" customWidth="1"/>
    <col min="2" max="2" width="9.81640625" style="97" customWidth="1"/>
    <col min="3" max="4" width="9" style="97" customWidth="1"/>
    <col min="5" max="5" width="11.81640625" style="97" customWidth="1"/>
    <col min="6" max="6" width="13.81640625" style="97" customWidth="1"/>
    <col min="7" max="7" width="11.81640625" style="97" customWidth="1"/>
    <col min="8" max="8" width="11.453125" style="97" customWidth="1"/>
    <col min="9" max="9" width="10.81640625" style="97" customWidth="1"/>
    <col min="10" max="10" width="10" style="97" customWidth="1"/>
    <col min="11" max="11" width="10.81640625" style="97" customWidth="1"/>
    <col min="12" max="12" width="15.453125" style="97" bestFit="1" customWidth="1"/>
    <col min="13" max="13" width="10" style="126" bestFit="1" customWidth="1"/>
    <col min="14" max="26" width="8.81640625" style="97" customWidth="1"/>
    <col min="27" max="27" width="8.81640625" style="149" customWidth="1"/>
    <col min="28" max="33" width="8.81640625" style="97" customWidth="1"/>
    <col min="34" max="16384" width="8.81640625" style="97"/>
  </cols>
  <sheetData>
    <row r="1" spans="1:27" ht="15" customHeight="1">
      <c r="A1" s="881" t="s">
        <v>56</v>
      </c>
      <c r="B1" s="1888" t="str">
        <f>DistrictName</f>
        <v>Stanfield Elementary School District</v>
      </c>
      <c r="C1" s="1888"/>
      <c r="D1" s="1888"/>
      <c r="E1" s="1888"/>
      <c r="F1" s="881" t="s">
        <v>1</v>
      </c>
      <c r="G1" s="1887" t="str">
        <f>Cover!H1</f>
        <v>Pinal</v>
      </c>
      <c r="H1" s="1888"/>
      <c r="I1" s="1888"/>
      <c r="K1" s="881" t="s">
        <v>57</v>
      </c>
      <c r="L1" s="1889" t="str">
        <f>CTD</f>
        <v>110424000</v>
      </c>
      <c r="M1" s="1889"/>
      <c r="AA1" s="126"/>
    </row>
    <row r="2" spans="1:27" ht="15" customHeight="1">
      <c r="A2" s="1309"/>
      <c r="B2" s="1309"/>
      <c r="C2" s="351"/>
      <c r="D2" s="5"/>
      <c r="E2" s="1309"/>
      <c r="F2" s="351"/>
      <c r="G2" s="5"/>
      <c r="H2" s="5"/>
      <c r="I2" s="96"/>
      <c r="K2" s="881" t="s">
        <v>16</v>
      </c>
      <c r="L2" s="1883" t="str">
        <f>Version</f>
        <v>Proposed</v>
      </c>
      <c r="M2" s="1883"/>
      <c r="AA2" s="126"/>
    </row>
    <row r="3" spans="1:27" ht="15" customHeight="1">
      <c r="A3" s="2" t="s">
        <v>692</v>
      </c>
      <c r="C3" s="882"/>
      <c r="D3" s="1810" t="str">
        <f>IF(DistrictName&lt;&gt;0,DistrictName,"")</f>
        <v>Stanfield Elementary School District</v>
      </c>
      <c r="E3" s="1810"/>
      <c r="F3" s="1810"/>
      <c r="G3" s="1810"/>
      <c r="H3" s="1810"/>
      <c r="I3" s="882"/>
      <c r="J3" s="882"/>
      <c r="K3" s="882"/>
      <c r="L3" s="882"/>
      <c r="M3" s="882"/>
      <c r="AA3" s="126"/>
    </row>
    <row r="4" spans="1:27" ht="34.5" customHeight="1">
      <c r="C4" s="309"/>
      <c r="D4" s="1885" t="s">
        <v>597</v>
      </c>
      <c r="E4" s="1885"/>
      <c r="F4" s="1885"/>
      <c r="G4" s="1885"/>
      <c r="H4" s="1885"/>
      <c r="I4" s="309"/>
      <c r="J4" s="309"/>
      <c r="K4" s="309"/>
      <c r="L4" s="309"/>
      <c r="M4" s="309"/>
      <c r="AA4" s="126"/>
    </row>
    <row r="5" spans="1:27" ht="15" customHeight="1" thickBot="1">
      <c r="A5" s="857"/>
      <c r="B5" s="857"/>
      <c r="C5" s="883"/>
      <c r="D5" s="883"/>
      <c r="E5" s="857"/>
      <c r="F5" s="884" t="s">
        <v>598</v>
      </c>
      <c r="G5" s="885" t="str">
        <f>IF(AND(SmallIsolatedPSD8Checkbox="X",SmallIsolated912Checkbox="X"),"Both Elementary and High School",IF(SmallIsolatedPSD8Checkbox="X","Elementary",IF(SmallIsolated912Checkbox="X","High School","Not Isolated")))</f>
        <v>Not Isolated</v>
      </c>
      <c r="H5" s="857"/>
      <c r="I5" s="857"/>
      <c r="J5" s="857"/>
      <c r="K5" s="883"/>
      <c r="L5" s="886" t="s">
        <v>599</v>
      </c>
      <c r="M5" s="886" t="s">
        <v>600</v>
      </c>
      <c r="AA5" s="126"/>
    </row>
    <row r="6" spans="1:27" ht="26.25" customHeight="1">
      <c r="A6" s="887" t="s">
        <v>601</v>
      </c>
      <c r="B6" s="96"/>
      <c r="C6" s="888" t="s">
        <v>602</v>
      </c>
      <c r="D6" s="888" t="s">
        <v>603</v>
      </c>
      <c r="E6" s="888" t="s">
        <v>604</v>
      </c>
      <c r="F6" s="888" t="s">
        <v>486</v>
      </c>
      <c r="G6" s="888" t="s">
        <v>605</v>
      </c>
      <c r="H6" s="888" t="s">
        <v>606</v>
      </c>
      <c r="I6" s="888" t="s">
        <v>607</v>
      </c>
      <c r="AA6" s="126"/>
    </row>
    <row r="7" spans="1:27" ht="15" customHeight="1">
      <c r="A7" s="889" t="s">
        <v>429</v>
      </c>
      <c r="B7" s="96"/>
      <c r="C7" s="890">
        <f>NonAOIStudCntPSDCY</f>
        <v>0.5</v>
      </c>
      <c r="D7" s="890">
        <f>AOIFTStudCntPSDCY</f>
        <v>0</v>
      </c>
      <c r="E7" s="891">
        <f>AOIPTStudCntPSDCY</f>
        <v>0</v>
      </c>
      <c r="F7" s="892">
        <f>IF(AND(C7=0,D7=0,E7=0),0,1.45)</f>
        <v>1.45</v>
      </c>
      <c r="G7" s="891">
        <f>NonAOIStudCntPSDCY*F7</f>
        <v>0.72499999999999998</v>
      </c>
      <c r="H7" s="891">
        <f>AOIFTStudCntPSDCY*F7</f>
        <v>0</v>
      </c>
      <c r="I7" s="891">
        <f>AOIPTStudCntPSDCY*F7</f>
        <v>0</v>
      </c>
      <c r="AA7" s="126"/>
    </row>
    <row r="8" spans="1:27" ht="15" customHeight="1">
      <c r="A8" s="889" t="s">
        <v>608</v>
      </c>
      <c r="B8" s="96"/>
      <c r="C8" s="890">
        <f>NonAOIStudCntK8CY</f>
        <v>335</v>
      </c>
      <c r="D8" s="890">
        <f>AOIFTStudCntK8CY</f>
        <v>0</v>
      </c>
      <c r="E8" s="891">
        <f>AOIPTStudCntK8CY</f>
        <v>0</v>
      </c>
      <c r="F8" s="892">
        <f>IF(UnweightedStudCntK8CY&gt;0,AA13,0)</f>
        <v>1.3274999999999999</v>
      </c>
      <c r="G8" s="891">
        <f>NonAOIStudCntK8CY*F8</f>
        <v>444.71249999999998</v>
      </c>
      <c r="H8" s="891">
        <f>AOIFTStudCntK8CY*F8</f>
        <v>0</v>
      </c>
      <c r="I8" s="891">
        <f>AOIPTStudCntK8CY*F8</f>
        <v>0</v>
      </c>
      <c r="AA8" s="126"/>
    </row>
    <row r="9" spans="1:27" ht="15" customHeight="1">
      <c r="A9" s="889" t="s">
        <v>431</v>
      </c>
      <c r="B9" s="96"/>
      <c r="C9" s="890">
        <f>NonAOIStudCnt912CY</f>
        <v>0</v>
      </c>
      <c r="D9" s="893">
        <f>AOIFTStudCnt912CY</f>
        <v>0</v>
      </c>
      <c r="E9" s="891">
        <f>AOIPTStudCnt912CY</f>
        <v>0</v>
      </c>
      <c r="F9" s="892">
        <f>IF(VALUE(LEFT(RIGHT(L1,7),2))=8,SuppLvlWgt912NonIsolated,IF(UnweightedStudCnt912CY&gt;0,AA15,0))</f>
        <v>0</v>
      </c>
      <c r="G9" s="891">
        <f>NonAOIStudCnt912CY*F9</f>
        <v>0</v>
      </c>
      <c r="H9" s="894">
        <f>AOIFTStudCnt912CY*F9</f>
        <v>0</v>
      </c>
      <c r="I9" s="891">
        <f>AOIPTStudCnt912CY*F9</f>
        <v>0</v>
      </c>
      <c r="AA9" s="126"/>
    </row>
    <row r="10" spans="1:27" ht="15" customHeight="1">
      <c r="A10" s="1298" t="s">
        <v>609</v>
      </c>
      <c r="B10" s="96"/>
      <c r="C10" s="895">
        <f>TotalNonAOIStudCntCY</f>
        <v>335.5</v>
      </c>
      <c r="D10" s="895">
        <f>TotalAOIFTStudCntCY</f>
        <v>0</v>
      </c>
      <c r="E10" s="896">
        <f>TotalAOIPTStudCntCY</f>
        <v>0</v>
      </c>
      <c r="F10" s="891"/>
      <c r="G10" s="891"/>
      <c r="H10" s="894"/>
      <c r="I10" s="891"/>
      <c r="AA10" s="126"/>
    </row>
    <row r="11" spans="1:27" ht="15" customHeight="1">
      <c r="A11" s="1298" t="s">
        <v>610</v>
      </c>
      <c r="B11" s="96"/>
      <c r="C11" s="891"/>
      <c r="D11" s="891"/>
      <c r="E11" s="896">
        <f>SUM(C10:E10)</f>
        <v>335.5</v>
      </c>
      <c r="F11" s="891"/>
      <c r="G11" s="891"/>
      <c r="H11" s="891"/>
      <c r="I11" s="891"/>
      <c r="AA11" s="126"/>
    </row>
    <row r="12" spans="1:27" ht="15" customHeight="1">
      <c r="A12" s="1298" t="s">
        <v>611</v>
      </c>
      <c r="B12" s="96"/>
      <c r="C12" s="891"/>
      <c r="D12" s="891"/>
      <c r="E12" s="891"/>
      <c r="F12" s="891"/>
      <c r="G12" s="896">
        <f>((C7*F7)+(C8*F8)+(C9*F9))</f>
        <v>445.4375</v>
      </c>
      <c r="H12" s="896">
        <f>((D7*F7)+(D8*F8)+(D9*F9))</f>
        <v>0</v>
      </c>
      <c r="I12" s="896">
        <f>((E7*F7)+(E8*F8)+(E9*F9))</f>
        <v>0</v>
      </c>
      <c r="AA12" s="126"/>
    </row>
    <row r="13" spans="1:27" ht="15" customHeight="1">
      <c r="A13" s="897" t="s">
        <v>612</v>
      </c>
      <c r="B13" s="206"/>
      <c r="C13" s="894"/>
      <c r="D13" s="894"/>
      <c r="E13" s="894"/>
      <c r="F13" s="894"/>
      <c r="G13" s="894"/>
      <c r="H13" s="894"/>
      <c r="I13" s="898">
        <f>(((C7+D7+E7)*F7)+((C8+D8+E8)*F8)+((C9+D9+E9)*F9))</f>
        <v>445.4375</v>
      </c>
      <c r="J13" s="145"/>
      <c r="K13" s="145"/>
      <c r="L13" s="145"/>
      <c r="M13" s="899"/>
      <c r="AA13" s="900">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1.3274999999999999</v>
      </c>
    </row>
    <row r="14" spans="1:27" ht="7.5" customHeight="1" thickBot="1">
      <c r="A14" s="901"/>
      <c r="B14" s="857"/>
      <c r="C14" s="902"/>
      <c r="D14" s="902"/>
      <c r="E14" s="902"/>
      <c r="F14" s="902"/>
      <c r="G14" s="902"/>
      <c r="H14" s="902"/>
      <c r="I14" s="903"/>
      <c r="J14" s="883"/>
      <c r="K14" s="883"/>
      <c r="L14" s="883"/>
      <c r="M14" s="904"/>
      <c r="AA14" s="905"/>
    </row>
    <row r="15" spans="1:27" s="145" customFormat="1" ht="7.5" customHeight="1">
      <c r="A15" s="206"/>
      <c r="B15" s="206"/>
      <c r="C15" s="206"/>
      <c r="D15" s="206"/>
      <c r="E15" s="206"/>
      <c r="F15" s="206"/>
      <c r="G15" s="206"/>
      <c r="H15" s="206"/>
      <c r="I15" s="206"/>
      <c r="M15" s="899"/>
      <c r="AA15" s="906">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1.5589999999999999</v>
      </c>
    </row>
    <row r="16" spans="1:27" ht="26.25" customHeight="1">
      <c r="A16" s="907" t="s">
        <v>613</v>
      </c>
      <c r="B16" s="269"/>
      <c r="C16" s="888" t="s">
        <v>602</v>
      </c>
      <c r="D16" s="888" t="s">
        <v>603</v>
      </c>
      <c r="E16" s="888" t="s">
        <v>604</v>
      </c>
      <c r="F16" s="888" t="s">
        <v>486</v>
      </c>
      <c r="G16" s="888" t="s">
        <v>605</v>
      </c>
      <c r="H16" s="888" t="s">
        <v>606</v>
      </c>
      <c r="I16" s="888" t="s">
        <v>607</v>
      </c>
      <c r="AA16" s="126"/>
    </row>
    <row r="17" spans="1:27" ht="15" customHeight="1">
      <c r="A17" s="283" t="s">
        <v>437</v>
      </c>
      <c r="B17" s="269"/>
      <c r="C17" s="891">
        <f>NonAOIStudCntELL</f>
        <v>85.7</v>
      </c>
      <c r="D17" s="891">
        <f>AOIFTStudCntELL</f>
        <v>0</v>
      </c>
      <c r="E17" s="891">
        <f>AOIPTStudCntELL</f>
        <v>0</v>
      </c>
      <c r="F17" s="892">
        <v>0.115</v>
      </c>
      <c r="G17" s="891">
        <f>NonAOIStudCntELL*F17</f>
        <v>9.8554999999999993</v>
      </c>
      <c r="H17" s="891">
        <f>AOIFTStudCntELL*F17</f>
        <v>0</v>
      </c>
      <c r="I17" s="891">
        <f>AOIPTStudCntELL*F17</f>
        <v>0</v>
      </c>
      <c r="AA17" s="126"/>
    </row>
    <row r="18" spans="1:27" ht="15" customHeight="1">
      <c r="A18" s="283" t="s">
        <v>436</v>
      </c>
      <c r="B18" s="269"/>
      <c r="C18" s="891">
        <f>NonAOIStudCntK3</f>
        <v>126.6728</v>
      </c>
      <c r="D18" s="891">
        <f>AOIFTStudCntK3</f>
        <v>0</v>
      </c>
      <c r="E18" s="891">
        <f>AOIPTStudCntK3</f>
        <v>0</v>
      </c>
      <c r="F18" s="892">
        <v>0.06</v>
      </c>
      <c r="G18" s="891">
        <f>NonAOIStudCntK3*F18</f>
        <v>7.6003999999999996</v>
      </c>
      <c r="H18" s="891">
        <f>AOIFTStudCntK3*F18</f>
        <v>0</v>
      </c>
      <c r="I18" s="891">
        <f>AOIPTStudCntK3*F18</f>
        <v>0</v>
      </c>
      <c r="AA18" s="126"/>
    </row>
    <row r="19" spans="1:27" ht="15" customHeight="1">
      <c r="A19" s="283" t="s">
        <v>614</v>
      </c>
      <c r="B19" s="269"/>
      <c r="C19" s="891">
        <f>NonAOIStudCntK3R</f>
        <v>126.6728</v>
      </c>
      <c r="D19" s="891">
        <f>AOIFTStudCntK3R</f>
        <v>0</v>
      </c>
      <c r="E19" s="891">
        <f>AOIPTStudCntK3R</f>
        <v>0</v>
      </c>
      <c r="F19" s="892">
        <v>0.04</v>
      </c>
      <c r="G19" s="891">
        <f>NonAOIStudCntK3R*F19</f>
        <v>5.0669000000000004</v>
      </c>
      <c r="H19" s="891">
        <f>AOIFTStudCntK3R*F19</f>
        <v>0</v>
      </c>
      <c r="I19" s="891">
        <f>AOIPTStudCntK3R*F19</f>
        <v>0</v>
      </c>
      <c r="AA19" s="126"/>
    </row>
    <row r="20" spans="1:27" ht="15" customHeight="1">
      <c r="A20" s="283" t="s">
        <v>438</v>
      </c>
      <c r="B20" s="269"/>
      <c r="C20" s="891">
        <f>NonAOIStudCntHI</f>
        <v>0</v>
      </c>
      <c r="D20" s="891">
        <f>AOIFTStudCntHI</f>
        <v>0</v>
      </c>
      <c r="E20" s="891">
        <f>AOIPTStudCntHI</f>
        <v>0</v>
      </c>
      <c r="F20" s="892">
        <v>4.7709999999999999</v>
      </c>
      <c r="G20" s="891">
        <f>NonAOIStudCntHI*F20</f>
        <v>0</v>
      </c>
      <c r="H20" s="891">
        <f>AOIFTStudCntHI*F20</f>
        <v>0</v>
      </c>
      <c r="I20" s="891">
        <f>AOIPTStudCntHI*F20</f>
        <v>0</v>
      </c>
      <c r="AA20" s="126"/>
    </row>
    <row r="21" spans="1:27" ht="15" customHeight="1">
      <c r="A21" s="283" t="s">
        <v>615</v>
      </c>
      <c r="B21" s="269"/>
      <c r="C21" s="891">
        <f>NonAOIStudCntMDR.AR.SIDR</f>
        <v>0</v>
      </c>
      <c r="D21" s="891">
        <f>AOIFTStudCntMDR.AR.SIDR</f>
        <v>0</v>
      </c>
      <c r="E21" s="891">
        <f>AOIPTStudCntMDR.AR.SIDR</f>
        <v>0</v>
      </c>
      <c r="F21" s="892">
        <v>6.024</v>
      </c>
      <c r="G21" s="891">
        <f>NonAOIStudCntMDR.AR.SIDR*F21</f>
        <v>0</v>
      </c>
      <c r="H21" s="891">
        <f>AOIFTStudCntMDR.AR.SIDR*F21</f>
        <v>0</v>
      </c>
      <c r="I21" s="891">
        <f>AOIPTStudCntMDR.AR.SIDR*F21</f>
        <v>0</v>
      </c>
      <c r="AA21" s="126"/>
    </row>
    <row r="22" spans="1:27" ht="15" customHeight="1">
      <c r="A22" s="908" t="s">
        <v>616</v>
      </c>
      <c r="B22" s="269"/>
      <c r="C22" s="891">
        <f>NonAOIStudCntMDSC.ASC.SIDSC</f>
        <v>6.18</v>
      </c>
      <c r="D22" s="891">
        <f>AOIFTStudCntMDSC.ASC.SIDSC</f>
        <v>0</v>
      </c>
      <c r="E22" s="891">
        <f>AOIPTStudCntMDSC.ASC.SIDSC</f>
        <v>0</v>
      </c>
      <c r="F22" s="909">
        <v>5.9880000000000004</v>
      </c>
      <c r="G22" s="891">
        <f>NonAOIStudCntMDSC.ASC.SIDSC*F22</f>
        <v>37.005800000000001</v>
      </c>
      <c r="H22" s="891">
        <f>AOIFTStudCntMDSC.ASC.SIDSC*F22</f>
        <v>0</v>
      </c>
      <c r="I22" s="891">
        <f>AOIPTStudCntMDSC.ASC.SIDSC*F22</f>
        <v>0</v>
      </c>
      <c r="AA22" s="126"/>
    </row>
    <row r="23" spans="1:27" ht="15" customHeight="1">
      <c r="A23" s="908" t="s">
        <v>441</v>
      </c>
      <c r="B23" s="269"/>
      <c r="C23" s="891">
        <f>NonAOIStudCntMDSSI</f>
        <v>0</v>
      </c>
      <c r="D23" s="891">
        <f>AOIFTStudCntMDSSI</f>
        <v>0</v>
      </c>
      <c r="E23" s="891">
        <f>AOIPTStudCntMDSSI</f>
        <v>0</v>
      </c>
      <c r="F23" s="909">
        <v>7.9470000000000001</v>
      </c>
      <c r="G23" s="891">
        <f>NonAOIStudCntMDSSI*F23</f>
        <v>0</v>
      </c>
      <c r="H23" s="891">
        <f>AOIFTStudCntMDSSI*F23</f>
        <v>0</v>
      </c>
      <c r="I23" s="891">
        <f>AOIPTStudCntMDSSI*F23</f>
        <v>0</v>
      </c>
      <c r="AA23" s="126"/>
    </row>
    <row r="24" spans="1:27" ht="15" customHeight="1">
      <c r="A24" s="908" t="s">
        <v>442</v>
      </c>
      <c r="B24" s="269"/>
      <c r="C24" s="891">
        <f>NonAOIStudCntOIR</f>
        <v>0</v>
      </c>
      <c r="D24" s="891">
        <f>AOIFTStudCntOIR</f>
        <v>0</v>
      </c>
      <c r="E24" s="891">
        <f>AOIPTStudCntOIR</f>
        <v>0</v>
      </c>
      <c r="F24" s="909">
        <v>3.1579999999999999</v>
      </c>
      <c r="G24" s="891">
        <f>NonAOIStudCntOIR*F24</f>
        <v>0</v>
      </c>
      <c r="H24" s="891">
        <f>AOIFTStudCntOIR*F24</f>
        <v>0</v>
      </c>
      <c r="I24" s="891">
        <f>AOIPTStudCntOIR*F24</f>
        <v>0</v>
      </c>
      <c r="AA24" s="126"/>
    </row>
    <row r="25" spans="1:27" ht="15" customHeight="1">
      <c r="A25" s="908" t="s">
        <v>443</v>
      </c>
      <c r="B25" s="269"/>
      <c r="C25" s="891">
        <f>NonAOIStudCntOISC</f>
        <v>1</v>
      </c>
      <c r="D25" s="891">
        <f>AOIFTStudCntOISC</f>
        <v>0</v>
      </c>
      <c r="E25" s="891">
        <f>AOIPTStudCntOISC</f>
        <v>0</v>
      </c>
      <c r="F25" s="909">
        <v>6.7729999999999997</v>
      </c>
      <c r="G25" s="891">
        <f>NonAOIStudCntOISC*F25</f>
        <v>6.7729999999999997</v>
      </c>
      <c r="H25" s="891">
        <f>AOIFTStudCntOISC*F25</f>
        <v>0</v>
      </c>
      <c r="I25" s="891">
        <f>AOIPTStudCntOISC*F25</f>
        <v>0</v>
      </c>
      <c r="AA25" s="126"/>
    </row>
    <row r="26" spans="1:27" ht="15" customHeight="1">
      <c r="A26" s="908" t="s">
        <v>444</v>
      </c>
      <c r="B26" s="269"/>
      <c r="C26" s="891">
        <f>NonAOIStudCntP.SD</f>
        <v>0</v>
      </c>
      <c r="D26" s="891">
        <f>AOIFTStudCntP.SD</f>
        <v>0</v>
      </c>
      <c r="E26" s="891">
        <f>AOIPTStudCntP.SD</f>
        <v>0</v>
      </c>
      <c r="F26" s="909">
        <v>3.5950000000000002</v>
      </c>
      <c r="G26" s="891">
        <f>NonAOIStudCntP.SD*F26</f>
        <v>0</v>
      </c>
      <c r="H26" s="891">
        <f>AOIFTStudCntP.SD*F26</f>
        <v>0</v>
      </c>
      <c r="I26" s="891">
        <f>AOIPTStudCntP.SD*F26</f>
        <v>0</v>
      </c>
      <c r="M26" s="97"/>
      <c r="AA26" s="97"/>
    </row>
    <row r="27" spans="1:27" ht="15" customHeight="1">
      <c r="A27" s="908" t="s">
        <v>617</v>
      </c>
      <c r="B27" s="269"/>
      <c r="C27" s="891">
        <f>NonAOIStudCntDD.ED.MIID.SLD.SLI.OHI</f>
        <v>28.48</v>
      </c>
      <c r="D27" s="891">
        <f>AOIFTStudCntDD.ED.MIID.SLD.SLI.OHI</f>
        <v>0</v>
      </c>
      <c r="E27" s="891">
        <f>AOIPTStudCntDD.ED.MIID.SLD.SLI.OHI</f>
        <v>0</v>
      </c>
      <c r="F27" s="892">
        <v>0.29199999999999998</v>
      </c>
      <c r="G27" s="891">
        <f>NonAOIStudCntDD.ED.MIID.SLD.SLI.OHI*F27</f>
        <v>8.3162000000000003</v>
      </c>
      <c r="H27" s="891">
        <f>AOIFTStudCntDD.ED.MIID.SLD.SLI.OHI*F27</f>
        <v>0</v>
      </c>
      <c r="I27" s="891">
        <f>AOIPTStudCntDD.ED.MIID.SLD.SLI.OHI*F27</f>
        <v>0</v>
      </c>
      <c r="AA27" s="126"/>
    </row>
    <row r="28" spans="1:27" ht="15" customHeight="1">
      <c r="A28" s="908" t="s">
        <v>447</v>
      </c>
      <c r="B28" s="269"/>
      <c r="C28" s="891">
        <f>NonAOIStudCntEDP</f>
        <v>0</v>
      </c>
      <c r="D28" s="891">
        <f>AOIFTStudCntEDP</f>
        <v>0</v>
      </c>
      <c r="E28" s="891">
        <f>AOIPTStudCntEDP</f>
        <v>0</v>
      </c>
      <c r="F28" s="909">
        <v>4.8220000000000001</v>
      </c>
      <c r="G28" s="891">
        <f>NonAOIStudCntEDP*F28</f>
        <v>0</v>
      </c>
      <c r="H28" s="891">
        <f>AOIFTStudCntEDP*F28</f>
        <v>0</v>
      </c>
      <c r="I28" s="891">
        <f>AOIPTStudCntEDP*F28</f>
        <v>0</v>
      </c>
      <c r="AA28" s="126"/>
    </row>
    <row r="29" spans="1:27" ht="15" customHeight="1">
      <c r="A29" s="908" t="s">
        <v>448</v>
      </c>
      <c r="B29" s="269"/>
      <c r="C29" s="891">
        <f>NonAOIStudCntMOID</f>
        <v>0</v>
      </c>
      <c r="D29" s="891">
        <f>AOIFTStudCntMOID</f>
        <v>0</v>
      </c>
      <c r="E29" s="891">
        <f>AOIPTStudCntMOID</f>
        <v>0</v>
      </c>
      <c r="F29" s="909">
        <v>4.4210000000000003</v>
      </c>
      <c r="G29" s="891">
        <f>NonAOIStudCntMOID*F29</f>
        <v>0</v>
      </c>
      <c r="H29" s="891">
        <f>AOIFTStudCntMOID*F29</f>
        <v>0</v>
      </c>
      <c r="I29" s="891">
        <f>AOIPTStudCntMOID*F29</f>
        <v>0</v>
      </c>
      <c r="AA29" s="126"/>
    </row>
    <row r="30" spans="1:27" ht="15" customHeight="1">
      <c r="A30" s="908" t="s">
        <v>449</v>
      </c>
      <c r="B30" s="269"/>
      <c r="C30" s="891">
        <f>NonAOIStudCntVI</f>
        <v>0</v>
      </c>
      <c r="D30" s="891">
        <f>AOIFTStudCntVI</f>
        <v>0</v>
      </c>
      <c r="E30" s="891">
        <f>AOIPTStudCntVI</f>
        <v>0</v>
      </c>
      <c r="F30" s="909">
        <v>4.806</v>
      </c>
      <c r="G30" s="891">
        <f>NonAOIStudCntVI*F30</f>
        <v>0</v>
      </c>
      <c r="H30" s="891">
        <f>AOIFTStudCntVI*F30</f>
        <v>0</v>
      </c>
      <c r="I30" s="891">
        <f>AOIPTStudCntVI*F30</f>
        <v>0</v>
      </c>
      <c r="AA30" s="126"/>
    </row>
    <row r="31" spans="1:27" ht="15" customHeight="1">
      <c r="A31" s="283" t="s">
        <v>451</v>
      </c>
      <c r="C31" s="891">
        <f>NonAOIStudCntFRPL</f>
        <v>325.67509999999999</v>
      </c>
      <c r="D31" s="891">
        <f>AOIFTStudCntFRPL</f>
        <v>0</v>
      </c>
      <c r="E31" s="891">
        <f>AOIPTStudCntFRPL</f>
        <v>0</v>
      </c>
      <c r="F31" s="892">
        <v>2.1999999999999999E-2</v>
      </c>
      <c r="G31" s="891">
        <f>NonAOIStudCntFRPL*F31</f>
        <v>7.1649000000000003</v>
      </c>
      <c r="H31" s="891">
        <f>AOIFTStudCntFRPL*F31</f>
        <v>0</v>
      </c>
      <c r="I31" s="891">
        <f>AOIPTStudCntFRPL*F31</f>
        <v>0</v>
      </c>
      <c r="AA31" s="126"/>
    </row>
    <row r="32" spans="1:27" ht="15" customHeight="1">
      <c r="A32" s="908" t="s">
        <v>450</v>
      </c>
      <c r="B32" s="269"/>
      <c r="C32" s="891">
        <f>NonAOIStudCntG</f>
        <v>2.56</v>
      </c>
      <c r="D32" s="891">
        <f>AOIFTStudCntG</f>
        <v>0</v>
      </c>
      <c r="E32" s="891">
        <f>AOIPTStudCntG</f>
        <v>0</v>
      </c>
      <c r="F32" s="909">
        <v>7.0000000000000001E-3</v>
      </c>
      <c r="G32" s="891">
        <f>NonAOIStudCntG*F32</f>
        <v>1.7899999999999999E-2</v>
      </c>
      <c r="H32" s="891">
        <f>AOIFTStudCntG*F32</f>
        <v>0</v>
      </c>
      <c r="I32" s="891">
        <f>AOIPTStudCntG*F32</f>
        <v>0</v>
      </c>
      <c r="AA32" s="126"/>
    </row>
    <row r="33" spans="1:27" ht="15" customHeight="1">
      <c r="A33" s="910" t="s">
        <v>618</v>
      </c>
      <c r="B33" s="910"/>
      <c r="C33" s="898">
        <f>SUM(C17:C32)</f>
        <v>702.94069999999999</v>
      </c>
      <c r="D33" s="898">
        <f>SUM(D17:D32)</f>
        <v>0</v>
      </c>
      <c r="E33" s="898">
        <f>SUM(E17:E32)</f>
        <v>0</v>
      </c>
      <c r="F33" s="911"/>
      <c r="G33" s="896"/>
      <c r="H33" s="896"/>
      <c r="I33" s="896"/>
      <c r="M33" s="97"/>
      <c r="AA33" s="97"/>
    </row>
    <row r="34" spans="1:27" ht="15" customHeight="1">
      <c r="A34" s="910" t="s">
        <v>619</v>
      </c>
      <c r="B34" s="910"/>
      <c r="C34" s="910"/>
      <c r="D34" s="912"/>
      <c r="E34" s="896">
        <f>SUM(C33:E33)</f>
        <v>702.94069999999999</v>
      </c>
      <c r="F34" s="913"/>
      <c r="G34" s="896"/>
      <c r="H34" s="896"/>
      <c r="I34" s="896"/>
      <c r="AA34" s="126"/>
    </row>
    <row r="35" spans="1:27" ht="15" customHeight="1">
      <c r="A35" s="910" t="s">
        <v>620</v>
      </c>
      <c r="B35" s="910"/>
      <c r="C35" s="910"/>
      <c r="D35" s="914"/>
      <c r="E35" s="913"/>
      <c r="F35" s="913"/>
      <c r="G35" s="915">
        <f>((C17*F17)+(C18*F18)+(C19*F19)+(C20*F20)+(C21*F21)+(C22*F22)+(C23*F23)+(C24*F24)+(C25*F25)+(C26*F26)+(C27*F27)+(C28*F28)+(C29*F29)+(C30*F30)+(C32*F32)+(C31*F31))</f>
        <v>81.800600000000003</v>
      </c>
      <c r="H35" s="915">
        <f>((D17*F17)+(D18*F18)+(D19*F19)+(D20*F20)+(D21*F21)+(D22*F22)+(D23*F23)+(D24*F24)+(D25*F25)+(D26*F26)+(D27*F27)+(D28*F28)+(D29*F29)+(D30*F30)+(D32*F32)+(D31*F31))</f>
        <v>0</v>
      </c>
      <c r="I35" s="915">
        <f>((E17*F17)+(E18*F18)+(E19*F19)+(E20*F20)+(E21*F21)+(E22*F22)+(E23*F23)+(E24*F24)+(E25*F25)+(E26*F26)+(E27*F27)+(E28*F28)+(E29*F29)+(E30*F30)+(E32*F32)+(E31*F31))</f>
        <v>0</v>
      </c>
      <c r="AA35" s="126"/>
    </row>
    <row r="36" spans="1:27" ht="15" customHeight="1">
      <c r="A36" s="910" t="s">
        <v>621</v>
      </c>
      <c r="B36" s="910"/>
      <c r="C36" s="910"/>
      <c r="D36" s="914"/>
      <c r="E36" s="913"/>
      <c r="F36" s="913"/>
      <c r="G36" s="896"/>
      <c r="H36" s="896"/>
      <c r="I36" s="896">
        <f>(((C17+D17+E17)*F17)+((C18+D18+E18)*F18)+((C19+D19+E19)*F19)+((C20+D20+E20)*F20)+((C21+D21+E21)*F21)+((C22+D22+E22)*F22)+((C23+D23+E23)*F23)+((C24+D24+E24)*F24)+((C25+D25+E25)*F25)+((C26+D26+E26)*F26)+((C27+D27+E27)*F27)+((C28+D28+E28)*F28)+((C29+D29+E29)*F29)+((C30+D30+E30)*F30)+((C32+D32+E32)*F32)+((C31+D31+E31)*F31))</f>
        <v>81.800600000000003</v>
      </c>
      <c r="AA36" s="126"/>
    </row>
    <row r="37" spans="1:27" ht="15" customHeight="1">
      <c r="B37" s="269"/>
      <c r="G37" s="269"/>
      <c r="H37" s="269"/>
      <c r="I37" s="269"/>
      <c r="AA37" s="126"/>
    </row>
    <row r="38" spans="1:27" ht="15" customHeight="1">
      <c r="A38" s="916"/>
      <c r="B38" s="1892"/>
      <c r="C38" s="1892"/>
      <c r="D38" s="1892"/>
      <c r="E38" s="916"/>
      <c r="F38" s="1892"/>
      <c r="G38" s="1893"/>
      <c r="H38" s="1893"/>
      <c r="I38" s="206"/>
      <c r="J38" s="1309"/>
      <c r="K38" s="1886"/>
      <c r="L38" s="1886" t="str">
        <f>CTD</f>
        <v>110424000</v>
      </c>
      <c r="AA38" s="126"/>
    </row>
    <row r="39" spans="1:27" ht="15" customHeight="1">
      <c r="A39" s="882"/>
      <c r="B39" s="882"/>
      <c r="C39" s="882"/>
      <c r="D39" s="1810" t="str">
        <f>IF(DistrictName&lt;&gt;0,DistrictName,"")</f>
        <v>Stanfield Elementary School District</v>
      </c>
      <c r="E39" s="1810"/>
      <c r="F39" s="1810"/>
      <c r="G39" s="1810"/>
      <c r="H39" s="1810"/>
      <c r="I39" s="882"/>
      <c r="J39" s="882"/>
      <c r="K39" s="882"/>
      <c r="L39" s="882"/>
      <c r="M39" s="882"/>
      <c r="AA39" s="126"/>
    </row>
    <row r="40" spans="1:27" ht="34.5" customHeight="1">
      <c r="A40" s="309"/>
      <c r="B40" s="309"/>
      <c r="C40" s="309"/>
      <c r="D40" s="1885" t="s">
        <v>597</v>
      </c>
      <c r="E40" s="1885"/>
      <c r="F40" s="1885"/>
      <c r="G40" s="1885"/>
      <c r="H40" s="1885"/>
      <c r="I40" s="309"/>
      <c r="J40" s="309"/>
      <c r="K40" s="309"/>
      <c r="L40" s="309"/>
      <c r="M40" s="309"/>
      <c r="AA40" s="126"/>
    </row>
    <row r="41" spans="1:27" ht="15" customHeight="1" thickBot="1">
      <c r="A41" s="857"/>
      <c r="B41" s="857"/>
      <c r="C41" s="857"/>
      <c r="D41" s="857"/>
      <c r="E41" s="885"/>
      <c r="F41" s="884" t="s">
        <v>598</v>
      </c>
      <c r="G41" s="885" t="str">
        <f>IF(AND(SmallIsolatedPSD8Checkbox="X",SmallIsolated912Checkbox="X"),"Elementary and High School",IF(SmallIsolatedPSD8Checkbox="X","Elementary",IF(SmallIsolated912Checkbox="X","High School","Not Isolated")))</f>
        <v>Not Isolated</v>
      </c>
      <c r="H41" s="857"/>
      <c r="I41" s="857"/>
      <c r="J41" s="857"/>
      <c r="K41" s="883"/>
      <c r="L41" s="886" t="s">
        <v>599</v>
      </c>
      <c r="M41" s="886" t="s">
        <v>622</v>
      </c>
      <c r="AA41" s="126"/>
    </row>
    <row r="42" spans="1:27" ht="15" customHeight="1">
      <c r="AA42" s="126"/>
    </row>
    <row r="43" spans="1:27" ht="21.6">
      <c r="A43" s="917" t="s">
        <v>623</v>
      </c>
      <c r="B43" s="269"/>
      <c r="C43" s="269"/>
      <c r="D43" s="1319" t="s">
        <v>624</v>
      </c>
      <c r="E43" s="269"/>
      <c r="F43" s="1319" t="s">
        <v>603</v>
      </c>
      <c r="G43" s="897"/>
      <c r="H43" s="1319" t="s">
        <v>604</v>
      </c>
      <c r="I43" s="918"/>
      <c r="J43" s="918"/>
      <c r="K43" s="918"/>
      <c r="L43" s="918"/>
      <c r="M43" s="918"/>
      <c r="N43" s="918"/>
      <c r="O43" s="918"/>
      <c r="P43" s="918"/>
      <c r="Q43" s="918"/>
      <c r="AA43" s="126"/>
    </row>
    <row r="44" spans="1:27" ht="15" customHeight="1">
      <c r="A44" s="1894" t="s">
        <v>611</v>
      </c>
      <c r="B44" s="1894"/>
      <c r="C44" s="919"/>
      <c r="D44" s="920">
        <f>NonAOIRegEdWgtdADM</f>
        <v>445.4375</v>
      </c>
      <c r="E44" s="921"/>
      <c r="F44" s="920">
        <f>AOIFTRegEdWgtdADM</f>
        <v>0</v>
      </c>
      <c r="G44" s="921"/>
      <c r="H44" s="920">
        <f>AOIPTRegEdWgtdADM</f>
        <v>0</v>
      </c>
      <c r="I44" s="922"/>
      <c r="J44" s="1623"/>
      <c r="K44" s="1623"/>
      <c r="L44" s="1623"/>
      <c r="AA44" s="126"/>
    </row>
    <row r="45" spans="1:27" ht="15" customHeight="1">
      <c r="A45" s="1894" t="s">
        <v>620</v>
      </c>
      <c r="B45" s="1894"/>
      <c r="C45" s="919" t="s">
        <v>491</v>
      </c>
      <c r="D45" s="923">
        <f>NonAOIGrBAddOnWgtdADM</f>
        <v>81.800600000000003</v>
      </c>
      <c r="E45" s="921" t="s">
        <v>491</v>
      </c>
      <c r="F45" s="920">
        <f>AOIFTGrBAddOnWgtdADM</f>
        <v>0</v>
      </c>
      <c r="G45" s="921" t="s">
        <v>491</v>
      </c>
      <c r="H45" s="920">
        <f>AOIPTGrBAddOnWgtdADM</f>
        <v>0</v>
      </c>
      <c r="I45" s="922"/>
      <c r="J45" s="96"/>
      <c r="K45" s="922"/>
      <c r="L45" s="922"/>
      <c r="AA45" s="126"/>
    </row>
    <row r="46" spans="1:27" ht="15" customHeight="1">
      <c r="A46" s="924" t="s">
        <v>625</v>
      </c>
      <c r="B46" s="269"/>
      <c r="C46" s="919" t="s">
        <v>489</v>
      </c>
      <c r="D46" s="923">
        <f>((C7*F7)+(C8*F8)+(C9*F9)+C17*F17)+(C18*F18)+(C19*F19)+(C20*F20)+(C21*F21)+(C22*F22)+(C23*F23)+(C24*F24)+(C25*F25)+(C26*F26)+(C27*F27)+(C28*F28)+(C29*F29)+(C30*F30)+(C32*F32)+(C31*F31)</f>
        <v>527.23810000000003</v>
      </c>
      <c r="E46" s="921" t="s">
        <v>489</v>
      </c>
      <c r="F46" s="920">
        <f>((D7*F7)+(D8*F8)+(D9*F9)+(D17*F17)+(D18*F18)+(D19*F19)+(D20*F20)+(D21*F21)+(D22*F22)+(D23*F23)+(D24*F24)+(D25*F25)+(D26*F26)+(D27*F27)+(D28*F28)+(D29*F29)+(D30*F30)+(D32*F32)+(D31*F31))</f>
        <v>0</v>
      </c>
      <c r="G46" s="921" t="s">
        <v>489</v>
      </c>
      <c r="H46" s="920">
        <f>((E7*F7)+(E8*F8)+(E9*F9)+(E17*F17)+(E18*F18)+(E19*F19)+(E20*F20)+(E21*F21)+(E22*F22)+(E23*F23)+(E24*F24)+(E25*F25)+(E26*F26)+(E27*F27)+(E28*F28)+(E29*F29)+(E30*F30)+(E32*F32)+(E31*F31))</f>
        <v>0</v>
      </c>
      <c r="I46" s="922"/>
      <c r="J46" s="96"/>
      <c r="K46" s="922"/>
      <c r="L46" s="922"/>
      <c r="AA46" s="126"/>
    </row>
    <row r="47" spans="1:27" ht="15" customHeight="1">
      <c r="A47" s="924" t="s">
        <v>626</v>
      </c>
      <c r="B47" s="269"/>
      <c r="C47" s="919" t="s">
        <v>490</v>
      </c>
      <c r="D47" s="923">
        <v>1</v>
      </c>
      <c r="E47" s="925" t="s">
        <v>490</v>
      </c>
      <c r="F47" s="923">
        <v>0.95</v>
      </c>
      <c r="G47" s="925" t="s">
        <v>490</v>
      </c>
      <c r="H47" s="923">
        <v>0.85</v>
      </c>
      <c r="I47" s="922"/>
      <c r="J47" s="96"/>
      <c r="K47" s="922"/>
      <c r="L47" s="922"/>
      <c r="AA47" s="126"/>
    </row>
    <row r="48" spans="1:27" ht="15" customHeight="1">
      <c r="A48" s="924" t="s">
        <v>627</v>
      </c>
      <c r="B48" s="269"/>
      <c r="C48" s="919" t="s">
        <v>489</v>
      </c>
      <c r="D48" s="923">
        <f>(((C7*F7)+(C8*F8)+(C9*F9)+C17*F17)+(C18*F18)+(C19*F19)+(C20*F20)+(C21*F21)+(C22*F22)+(C23*F23)+(C24*F24)+(C25*F25)+(C26*F26)+(C27*F27)+(C28*F28)+(C29*F29)+(C30*F30)+(C32*F32)+(C31*F31))*D47</f>
        <v>527.23810000000003</v>
      </c>
      <c r="E48" s="925" t="s">
        <v>489</v>
      </c>
      <c r="F48" s="923">
        <f>(((D7*F7)+(D8*F8)+(D9*F9)+(D17*F17)+(D18*F18)+(D19*F19)+(D20*F20)+(D21*F21)+(D22*F22)+(D23*F23)+(D24*F24)+(D25*F25)+(D26*F26)+(D27*F27)+(D28*F28)+(D29*F29)+(D30*F30)+(D32*F32)+(D31*F31)))*F47</f>
        <v>0</v>
      </c>
      <c r="G48" s="925" t="s">
        <v>489</v>
      </c>
      <c r="H48" s="923">
        <f>(((E7*F7)+(E8*F8)+(E9*F9)+(E17*F17)+(E18*F18)+(E19*F19)+(E20*F20)+(E21*F21)+(E22*F22)+(E23*F23)+(E24*F24)+(E25*F25)+(E26*F26)+(E27*F27)+(E28*F28)+(E29*F29)+(E30*F30)+(E32*F32)+(E31*F31)))*H47</f>
        <v>0</v>
      </c>
      <c r="I48" s="922"/>
      <c r="J48" s="96"/>
      <c r="K48" s="922"/>
      <c r="L48" s="922"/>
      <c r="AA48" s="126"/>
    </row>
    <row r="49" spans="1:27" s="145" customFormat="1" ht="7.5" customHeight="1" thickBot="1">
      <c r="A49" s="926"/>
      <c r="B49" s="885"/>
      <c r="C49" s="927"/>
      <c r="D49" s="928"/>
      <c r="E49" s="929"/>
      <c r="F49" s="928"/>
      <c r="G49" s="929"/>
      <c r="H49" s="928"/>
      <c r="I49" s="930"/>
      <c r="J49" s="857"/>
      <c r="K49" s="930"/>
      <c r="L49" s="930"/>
      <c r="M49" s="931"/>
      <c r="AA49" s="932"/>
    </row>
    <row r="50" spans="1:27" s="145" customFormat="1" ht="7.5" customHeight="1">
      <c r="A50" s="924"/>
      <c r="B50" s="302"/>
      <c r="C50" s="919"/>
      <c r="D50" s="920"/>
      <c r="E50" s="925"/>
      <c r="F50" s="920"/>
      <c r="G50" s="925"/>
      <c r="H50" s="920"/>
      <c r="I50" s="922"/>
      <c r="J50" s="206"/>
      <c r="K50" s="922"/>
      <c r="L50" s="922"/>
      <c r="M50" s="932"/>
      <c r="AA50" s="932"/>
    </row>
    <row r="51" spans="1:27" ht="15" customHeight="1">
      <c r="A51" s="933" t="s">
        <v>628</v>
      </c>
      <c r="B51" s="934"/>
      <c r="C51" s="302"/>
      <c r="D51" s="670"/>
      <c r="E51" s="670"/>
      <c r="F51" s="670"/>
      <c r="G51" s="670"/>
      <c r="H51" s="935">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527.23805200000004</v>
      </c>
      <c r="I51" s="96"/>
      <c r="J51" s="96"/>
      <c r="K51" s="96"/>
      <c r="L51" s="96"/>
      <c r="AA51" s="126"/>
    </row>
    <row r="52" spans="1:27" ht="15" customHeight="1" thickBot="1">
      <c r="A52" s="1298" t="s">
        <v>1241</v>
      </c>
      <c r="B52" s="934"/>
      <c r="C52" s="269"/>
      <c r="D52" s="269"/>
      <c r="E52" s="936"/>
      <c r="F52" s="936"/>
      <c r="G52" s="936" t="s">
        <v>490</v>
      </c>
      <c r="H52" s="937">
        <f>IF(Checkbox200Days="X",BaseLevelAmount*1.05,BaseLevelAmount)</f>
        <v>5215.53</v>
      </c>
      <c r="I52" s="96"/>
      <c r="J52" s="938"/>
      <c r="K52" s="96"/>
      <c r="L52" s="96"/>
      <c r="AA52" s="126"/>
    </row>
    <row r="53" spans="1:27" ht="15" customHeight="1">
      <c r="A53" s="934" t="s">
        <v>629</v>
      </c>
      <c r="B53" s="934"/>
      <c r="C53" s="269"/>
      <c r="D53" s="269"/>
      <c r="E53" s="269"/>
      <c r="F53" s="269"/>
      <c r="G53" s="269"/>
      <c r="H53" s="939">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2749825.88</v>
      </c>
      <c r="I53" s="96"/>
      <c r="J53" s="96"/>
      <c r="K53" s="96"/>
      <c r="L53" s="96"/>
      <c r="AA53" s="126"/>
    </row>
    <row r="54" spans="1:27" ht="15" customHeight="1">
      <c r="A54" s="1897" t="s">
        <v>1242</v>
      </c>
      <c r="B54" s="1897"/>
      <c r="C54" s="892">
        <f>TEI</f>
        <v>1.0323</v>
      </c>
      <c r="D54" s="269"/>
      <c r="E54" s="269"/>
      <c r="F54" s="269"/>
      <c r="G54" s="269"/>
      <c r="H54" s="881"/>
      <c r="I54" s="96"/>
      <c r="J54" s="96"/>
      <c r="K54" s="96"/>
      <c r="L54" s="96"/>
      <c r="AA54" s="126"/>
    </row>
    <row r="55" spans="1:27" ht="15" customHeight="1" thickBot="1">
      <c r="A55" s="1298" t="s">
        <v>1243</v>
      </c>
      <c r="B55" s="934"/>
      <c r="C55" s="269"/>
      <c r="D55" s="269"/>
      <c r="E55" s="269"/>
      <c r="F55" s="269"/>
      <c r="G55" s="595" t="s">
        <v>490</v>
      </c>
      <c r="H55" s="940">
        <f>IF(TEI&gt;1,TEI,1)</f>
        <v>1.0323</v>
      </c>
      <c r="I55" s="96"/>
      <c r="J55" s="96"/>
      <c r="K55" s="96"/>
      <c r="L55" s="96"/>
      <c r="AA55" s="126"/>
    </row>
    <row r="56" spans="1:27" ht="15" customHeight="1">
      <c r="A56" s="941" t="s">
        <v>630</v>
      </c>
      <c r="B56" s="269"/>
      <c r="C56" s="942"/>
      <c r="D56" s="269"/>
      <c r="E56" s="269"/>
      <c r="F56" s="269"/>
      <c r="G56" s="269"/>
      <c r="H56" s="943"/>
      <c r="I56" s="96"/>
      <c r="J56" s="96"/>
      <c r="K56" s="96"/>
      <c r="L56" s="96"/>
      <c r="AA56" s="126"/>
    </row>
    <row r="57" spans="1:27" ht="15" customHeight="1">
      <c r="A57" s="1298" t="s">
        <v>631</v>
      </c>
      <c r="B57" s="269"/>
      <c r="C57" s="269"/>
      <c r="D57" s="269"/>
      <c r="E57" s="269"/>
      <c r="F57" s="269"/>
      <c r="G57" s="269"/>
      <c r="H57" s="939">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2838645.25</v>
      </c>
      <c r="I57" s="96"/>
      <c r="J57" s="96"/>
      <c r="K57" s="96"/>
      <c r="L57" s="96"/>
      <c r="AA57" s="126"/>
    </row>
    <row r="58" spans="1:27" ht="15" customHeight="1">
      <c r="A58" s="1298"/>
      <c r="B58" s="269"/>
      <c r="C58" s="269"/>
      <c r="D58" s="269"/>
      <c r="E58" s="269"/>
      <c r="F58" s="269"/>
      <c r="G58" s="269"/>
      <c r="H58" s="944"/>
      <c r="I58" s="96"/>
      <c r="J58" s="96"/>
      <c r="K58" s="96"/>
      <c r="L58" s="96"/>
      <c r="AA58" s="126"/>
    </row>
    <row r="59" spans="1:27" ht="15" customHeight="1">
      <c r="A59" s="945" t="s">
        <v>632</v>
      </c>
      <c r="B59" s="269"/>
      <c r="C59" s="946"/>
      <c r="D59" s="946"/>
      <c r="E59" s="946"/>
      <c r="F59" s="946"/>
      <c r="G59" s="946"/>
      <c r="H59" s="947"/>
      <c r="I59" s="96"/>
      <c r="J59" s="96"/>
      <c r="K59" s="96"/>
      <c r="L59" s="96"/>
      <c r="AA59" s="126"/>
    </row>
    <row r="60" spans="1:27" ht="15" customHeight="1">
      <c r="A60" s="1474" t="s">
        <v>633</v>
      </c>
      <c r="B60" s="881" t="s">
        <v>491</v>
      </c>
      <c r="C60" s="948">
        <f>NonFedAuditExp</f>
        <v>18705</v>
      </c>
      <c r="D60" s="1268"/>
      <c r="E60" s="1268"/>
      <c r="F60" s="1268"/>
      <c r="G60" s="1268"/>
      <c r="H60" s="949"/>
      <c r="I60" s="950"/>
      <c r="J60" s="96"/>
      <c r="K60" s="96"/>
      <c r="L60" s="96"/>
      <c r="AA60" s="126"/>
    </row>
    <row r="61" spans="1:27" ht="15" customHeight="1">
      <c r="A61" s="269" t="s">
        <v>634</v>
      </c>
      <c r="B61" s="881" t="s">
        <v>491</v>
      </c>
      <c r="C61" s="951">
        <f>IncreaseTuitionLossAdj</f>
        <v>0</v>
      </c>
      <c r="D61" s="1268"/>
      <c r="E61" s="1268"/>
      <c r="F61" s="1268"/>
      <c r="G61" s="1268"/>
      <c r="H61" s="949"/>
      <c r="I61" s="950"/>
      <c r="J61" s="96"/>
      <c r="K61" s="96"/>
      <c r="L61" s="96"/>
      <c r="AA61" s="126"/>
    </row>
    <row r="62" spans="1:27" ht="15" customHeight="1">
      <c r="A62" s="269" t="s">
        <v>635</v>
      </c>
      <c r="B62" s="881" t="s">
        <v>491</v>
      </c>
      <c r="C62" s="951">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68"/>
      <c r="E62" s="1268"/>
      <c r="F62" s="1268"/>
      <c r="G62" s="1268"/>
      <c r="H62" s="949"/>
      <c r="I62" s="950"/>
      <c r="J62" s="96"/>
      <c r="K62" s="96"/>
      <c r="L62" s="96"/>
      <c r="AA62" s="126"/>
    </row>
    <row r="63" spans="1:27" ht="15" customHeight="1">
      <c r="A63" s="1474" t="s">
        <v>636</v>
      </c>
      <c r="B63" s="881" t="s">
        <v>491</v>
      </c>
      <c r="C63" s="951">
        <f>RemoteInstructionDecre</f>
        <v>0</v>
      </c>
      <c r="D63" s="1268"/>
      <c r="E63" s="1268"/>
      <c r="F63" s="1268"/>
      <c r="G63" s="1268"/>
      <c r="H63" s="949"/>
      <c r="I63" s="950"/>
      <c r="J63" s="96"/>
      <c r="K63" s="96"/>
      <c r="L63" s="96"/>
      <c r="AA63" s="126"/>
    </row>
    <row r="64" spans="1:27" ht="15.6">
      <c r="A64" s="1474" t="s">
        <v>637</v>
      </c>
      <c r="B64" s="881" t="s">
        <v>491</v>
      </c>
      <c r="C64" s="948">
        <f>'Data Entry'!L88</f>
        <v>0</v>
      </c>
      <c r="D64" s="1268"/>
      <c r="E64" s="1268"/>
      <c r="F64" s="1268"/>
      <c r="G64" s="1268"/>
      <c r="H64" s="949"/>
      <c r="I64" s="950"/>
      <c r="J64" s="96"/>
      <c r="K64" s="96"/>
      <c r="L64" s="96"/>
      <c r="AA64" s="126"/>
    </row>
    <row r="65" spans="1:27" ht="15.6">
      <c r="A65" s="1474" t="s">
        <v>638</v>
      </c>
      <c r="B65" s="881" t="s">
        <v>491</v>
      </c>
      <c r="C65" s="948">
        <f>'Data Entry'!L89</f>
        <v>0</v>
      </c>
      <c r="D65" s="1268"/>
      <c r="E65" s="1268"/>
      <c r="F65" s="1268"/>
      <c r="G65" s="1268"/>
      <c r="H65" s="949"/>
      <c r="I65" s="950"/>
      <c r="J65" s="96"/>
      <c r="K65" s="96"/>
      <c r="L65" s="96"/>
      <c r="AA65" s="126"/>
    </row>
    <row r="66" spans="1:27" ht="15.6">
      <c r="A66" s="269" t="str">
        <f>IF('Data Entry'!C90&lt;&gt;"Other BSL Adjustment 1",'Data Entry'!C90,"")</f>
        <v/>
      </c>
      <c r="B66" s="881" t="str">
        <f>IF('Data Entry'!L90,"+","")</f>
        <v/>
      </c>
      <c r="C66" s="948" t="str">
        <f>IF(ISBLANK('Data Entry'!L90),"",'Data Entry'!L90)</f>
        <v/>
      </c>
      <c r="D66" s="1268"/>
      <c r="E66" s="1268"/>
      <c r="F66" s="1268"/>
      <c r="G66" s="1268"/>
      <c r="H66" s="949"/>
      <c r="I66" s="950"/>
      <c r="J66" s="96"/>
      <c r="K66" s="96"/>
      <c r="L66" s="96"/>
      <c r="AA66" s="126"/>
    </row>
    <row r="67" spans="1:27" ht="15.6">
      <c r="A67" s="269" t="str">
        <f>IF('Data Entry'!C91&lt;&gt;"Other BSL Adjustment 2",'Data Entry'!C91,"")</f>
        <v/>
      </c>
      <c r="B67" s="881" t="str">
        <f>IF('Data Entry'!L91,"+","")</f>
        <v/>
      </c>
      <c r="C67" s="948" t="str">
        <f>IF(ISBLANK('Data Entry'!L91),"",'Data Entry'!L91)</f>
        <v/>
      </c>
      <c r="D67" s="1268"/>
      <c r="E67" s="1268"/>
      <c r="F67" s="1268"/>
      <c r="G67" s="1268"/>
      <c r="H67" s="949"/>
      <c r="I67" s="950"/>
      <c r="J67" s="96"/>
      <c r="K67" s="96"/>
      <c r="L67" s="96"/>
      <c r="AA67" s="126"/>
    </row>
    <row r="68" spans="1:27" ht="15" customHeight="1">
      <c r="A68" s="644" t="s">
        <v>639</v>
      </c>
      <c r="B68" s="269"/>
      <c r="C68" s="269"/>
      <c r="D68" s="269"/>
      <c r="E68" s="269"/>
      <c r="F68" s="269"/>
      <c r="G68" s="269"/>
      <c r="H68" s="952">
        <f>SUM(C60:C67)</f>
        <v>18705</v>
      </c>
      <c r="I68" s="953"/>
      <c r="J68" s="96"/>
      <c r="K68" s="96"/>
      <c r="L68" s="96"/>
      <c r="AA68" s="126"/>
    </row>
    <row r="69" spans="1:27" ht="15" customHeight="1">
      <c r="A69" s="954" t="s">
        <v>640</v>
      </c>
      <c r="B69" s="269"/>
      <c r="C69" s="954"/>
      <c r="D69" s="954"/>
      <c r="E69" s="954"/>
      <c r="F69" s="954"/>
      <c r="G69" s="954"/>
      <c r="H69" s="955">
        <f>H68+H57</f>
        <v>2857350.25</v>
      </c>
      <c r="I69" s="956"/>
      <c r="J69" s="96"/>
      <c r="K69" s="96"/>
      <c r="L69" s="96"/>
      <c r="AA69" s="126"/>
    </row>
    <row r="70" spans="1:27" ht="15" customHeight="1">
      <c r="AA70" s="126"/>
    </row>
    <row r="71" spans="1:27" ht="15" customHeight="1">
      <c r="AA71" s="126"/>
    </row>
    <row r="72" spans="1:27" ht="15" customHeight="1">
      <c r="AA72" s="126"/>
    </row>
    <row r="73" spans="1:27" ht="15" customHeight="1">
      <c r="A73" s="882"/>
      <c r="B73" s="882"/>
      <c r="C73" s="882"/>
      <c r="D73" s="1810" t="str">
        <f>IF(DistrictName&lt;&gt;0,DistrictName,"")</f>
        <v>Stanfield Elementary School District</v>
      </c>
      <c r="E73" s="1810"/>
      <c r="F73" s="1810"/>
      <c r="G73" s="1810"/>
      <c r="H73" s="1810"/>
      <c r="I73" s="882"/>
      <c r="J73" s="882"/>
      <c r="K73" s="882"/>
      <c r="L73" s="882"/>
      <c r="M73" s="882"/>
      <c r="AA73" s="126"/>
    </row>
    <row r="74" spans="1:27" ht="34.5" customHeight="1">
      <c r="A74" s="309"/>
      <c r="B74" s="309"/>
      <c r="C74" s="309"/>
      <c r="D74" s="1885" t="s">
        <v>597</v>
      </c>
      <c r="E74" s="1885"/>
      <c r="F74" s="1885"/>
      <c r="G74" s="1885"/>
      <c r="H74" s="1885"/>
      <c r="I74" s="309"/>
      <c r="J74" s="309"/>
      <c r="K74" s="309"/>
      <c r="L74" s="309"/>
      <c r="M74" s="309"/>
      <c r="AA74" s="97"/>
    </row>
    <row r="75" spans="1:27" ht="15" customHeight="1" thickBot="1">
      <c r="A75" s="885"/>
      <c r="B75" s="885"/>
      <c r="C75" s="885"/>
      <c r="D75" s="885"/>
      <c r="E75" s="885"/>
      <c r="F75" s="884" t="s">
        <v>598</v>
      </c>
      <c r="G75" s="885" t="str">
        <f>IF(AND(SmallIsolatedPSD8Checkbox="X",SmallIsolated912Checkbox="X"),"Elementary and High School",IF(SmallIsolatedPSD8Checkbox="X","Elementary",IF(SmallIsolated912Checkbox="X","High School","Not Isolated")))</f>
        <v>Not Isolated</v>
      </c>
      <c r="H75" s="885"/>
      <c r="I75" s="885"/>
      <c r="J75" s="885"/>
      <c r="K75" s="885"/>
      <c r="L75" s="886" t="s">
        <v>599</v>
      </c>
      <c r="M75" s="886" t="s">
        <v>641</v>
      </c>
      <c r="AA75" s="126"/>
    </row>
    <row r="76" spans="1:27" ht="15" customHeight="1">
      <c r="A76" s="269"/>
      <c r="B76" s="269"/>
      <c r="C76" s="269"/>
      <c r="D76" s="269"/>
      <c r="E76" s="957"/>
      <c r="F76" s="958"/>
      <c r="G76" s="269"/>
      <c r="H76" s="269"/>
      <c r="I76" s="269"/>
      <c r="J76" s="269"/>
      <c r="K76" s="269"/>
      <c r="L76" s="269"/>
      <c r="M76" s="959"/>
      <c r="AA76" s="126"/>
    </row>
    <row r="77" spans="1:27" ht="15" customHeight="1">
      <c r="A77" s="960" t="s">
        <v>642</v>
      </c>
      <c r="B77" s="961"/>
      <c r="C77" s="962"/>
      <c r="D77" s="269"/>
      <c r="E77" s="963"/>
      <c r="F77" s="964" t="s">
        <v>643</v>
      </c>
      <c r="G77" s="269"/>
      <c r="H77" s="269"/>
      <c r="I77" s="269"/>
      <c r="J77" s="269"/>
      <c r="K77" s="269"/>
      <c r="L77" s="269"/>
      <c r="M77" s="959"/>
      <c r="AA77" s="126"/>
    </row>
    <row r="78" spans="1:27" ht="15" customHeight="1">
      <c r="A78" s="1895" t="s">
        <v>644</v>
      </c>
      <c r="B78" s="1895"/>
      <c r="C78" s="962"/>
      <c r="D78" s="269"/>
      <c r="E78" s="963"/>
      <c r="F78" s="1199" t="s">
        <v>1249</v>
      </c>
      <c r="G78" s="269"/>
      <c r="H78" s="269"/>
      <c r="I78" s="269"/>
      <c r="J78" s="965">
        <f>AdjBaseSuppLvl</f>
        <v>2857350.25</v>
      </c>
      <c r="K78" s="269"/>
      <c r="L78" s="269"/>
      <c r="M78" s="959"/>
      <c r="AA78" s="126"/>
    </row>
    <row r="79" spans="1:27" ht="15" customHeight="1">
      <c r="A79" s="966" t="s">
        <v>645</v>
      </c>
      <c r="B79" s="966"/>
      <c r="C79" s="269"/>
      <c r="D79" s="269"/>
      <c r="E79" s="967"/>
      <c r="F79" s="1199" t="s">
        <v>1250</v>
      </c>
      <c r="G79" s="269"/>
      <c r="H79" s="269"/>
      <c r="I79" s="595" t="s">
        <v>491</v>
      </c>
      <c r="J79" s="968">
        <f>ConsolUnifTransCosts</f>
        <v>0</v>
      </c>
      <c r="K79" s="269"/>
      <c r="L79" s="269"/>
      <c r="M79" s="959"/>
      <c r="AA79" s="97"/>
    </row>
    <row r="80" spans="1:27" ht="15" customHeight="1" thickBot="1">
      <c r="A80" s="966" t="s">
        <v>1244</v>
      </c>
      <c r="B80" s="966"/>
      <c r="C80" s="269"/>
      <c r="D80" s="269"/>
      <c r="E80" s="969">
        <f>EligibleStudTrans</f>
        <v>173</v>
      </c>
      <c r="F80" s="1199" t="s">
        <v>1248</v>
      </c>
      <c r="G80" s="269"/>
      <c r="H80" s="269"/>
      <c r="I80" s="595" t="s">
        <v>491</v>
      </c>
      <c r="J80" s="970">
        <f>TSL</f>
        <v>280367.14</v>
      </c>
      <c r="K80" s="269"/>
      <c r="L80" s="269"/>
      <c r="M80" s="269"/>
      <c r="AA80" s="126"/>
    </row>
    <row r="81" spans="1:27" ht="15" customHeight="1">
      <c r="A81" s="966" t="s">
        <v>1245</v>
      </c>
      <c r="B81" s="966"/>
      <c r="C81" s="269"/>
      <c r="D81" s="269"/>
      <c r="E81" s="971">
        <f>IF(ApprDRMiles&gt;0,ApprDRMiles/EligibleStudTrans,0)</f>
        <v>2.6185</v>
      </c>
      <c r="F81" s="1200" t="s">
        <v>1251</v>
      </c>
      <c r="G81" s="302"/>
      <c r="H81" s="302"/>
      <c r="I81" s="302"/>
      <c r="J81" s="972">
        <f>SUM(J78:J80)</f>
        <v>3137717.39</v>
      </c>
      <c r="K81" s="302"/>
      <c r="L81" s="302"/>
      <c r="M81" s="973"/>
      <c r="AA81" s="126"/>
    </row>
    <row r="82" spans="1:27" ht="15" customHeight="1" thickBot="1">
      <c r="A82" s="966" t="s">
        <v>646</v>
      </c>
      <c r="B82" s="966"/>
      <c r="C82" s="269"/>
      <c r="D82" s="974"/>
      <c r="E82" s="975">
        <f>ApprDRMiles</f>
        <v>453</v>
      </c>
      <c r="F82" s="1201"/>
      <c r="G82" s="885"/>
      <c r="H82" s="885"/>
      <c r="I82" s="885"/>
      <c r="J82" s="885"/>
      <c r="K82" s="885"/>
      <c r="L82" s="885"/>
      <c r="M82" s="976"/>
      <c r="AA82" s="126"/>
    </row>
    <row r="83" spans="1:27" ht="15" customHeight="1">
      <c r="A83" s="966" t="s">
        <v>647</v>
      </c>
      <c r="B83" s="966"/>
      <c r="C83" s="269"/>
      <c r="D83" s="595" t="s">
        <v>490</v>
      </c>
      <c r="E83" s="977">
        <f>IF(DailyRteMilesPerElgStud=0,0,IF(AND(DailyRteMilesPerElgStud&gt;0.5,DailyRteMilesPerElgStud&lt;=1),StateSupportLevelRouteMile2,StateSupportLevelRouteMile1))</f>
        <v>3.07</v>
      </c>
      <c r="AA83" s="126"/>
    </row>
    <row r="84" spans="1:27" ht="15" customHeight="1" thickBot="1">
      <c r="A84" s="966" t="s">
        <v>648</v>
      </c>
      <c r="B84" s="966"/>
      <c r="C84" s="269"/>
      <c r="D84" s="595" t="s">
        <v>490</v>
      </c>
      <c r="E84" s="978">
        <f>IF(Checkbox200Days="X",200,180)</f>
        <v>180</v>
      </c>
      <c r="F84" s="964" t="s">
        <v>649</v>
      </c>
      <c r="G84" s="269"/>
      <c r="H84" s="269"/>
      <c r="I84" s="269"/>
      <c r="J84" s="269"/>
      <c r="K84" s="269"/>
      <c r="L84" s="269"/>
      <c r="M84" s="959"/>
      <c r="AA84" s="126"/>
    </row>
    <row r="85" spans="1:27" ht="15" customHeight="1">
      <c r="A85" s="966" t="s">
        <v>650</v>
      </c>
      <c r="B85" s="966"/>
      <c r="C85" s="269"/>
      <c r="D85" s="595"/>
      <c r="E85" s="977">
        <f>E82*E83*E84</f>
        <v>250327.8</v>
      </c>
      <c r="F85" s="1199" t="s">
        <v>1249</v>
      </c>
      <c r="G85" s="269"/>
      <c r="H85" s="269"/>
      <c r="I85" s="269"/>
      <c r="J85" s="965">
        <f>AdjBaseSuppLvl</f>
        <v>2857350.25</v>
      </c>
      <c r="K85" s="269"/>
      <c r="L85" s="269"/>
      <c r="M85" s="959"/>
      <c r="AA85" s="126"/>
    </row>
    <row r="86" spans="1:27" ht="15" customHeight="1" thickBot="1">
      <c r="A86" s="1475" t="s">
        <v>959</v>
      </c>
      <c r="B86" s="966"/>
      <c r="C86" s="269"/>
      <c r="D86" s="595" t="s">
        <v>490</v>
      </c>
      <c r="E86" s="979">
        <f>IF(VALUE(LEFT(RIGHT(L1,7),2))=3,Type03TranspFactor,IF(VALUE(LEFT(RIGHT(L1,7),2))=2,Type02TranspFactor,IF(VALUE(LEFT(RIGHT(L1,7),2))=4,Type04TranspFactor,IF(VALUE(LEFT(RIGHT(L1,7),2))=5,Type05TranspFactor,IF(VALUE(LEFT(RIGHT(L1,7),2))=1,Type01TranspFactor,0)))))</f>
        <v>0.12</v>
      </c>
      <c r="F86" s="1199" t="s">
        <v>1250</v>
      </c>
      <c r="G86" s="269"/>
      <c r="H86" s="269"/>
      <c r="I86" s="595" t="s">
        <v>491</v>
      </c>
      <c r="J86" s="968">
        <f>ConsolUnifTransCosts</f>
        <v>0</v>
      </c>
      <c r="K86" s="269"/>
      <c r="L86" s="269"/>
      <c r="M86" s="959"/>
      <c r="AA86" s="126"/>
    </row>
    <row r="87" spans="1:27" ht="15" customHeight="1" thickBot="1">
      <c r="A87" s="980" t="s">
        <v>651</v>
      </c>
      <c r="B87" s="966"/>
      <c r="C87" s="269"/>
      <c r="D87" s="595"/>
      <c r="E87" s="977">
        <f>ROUND((E84*E82)*E83*E86,2)</f>
        <v>30039.34</v>
      </c>
      <c r="F87" s="1199" t="s">
        <v>1252</v>
      </c>
      <c r="G87" s="269"/>
      <c r="H87" s="269"/>
      <c r="I87" s="595" t="s">
        <v>491</v>
      </c>
      <c r="J87" s="970">
        <f>CYTRCL</f>
        <v>828622.62</v>
      </c>
      <c r="K87" s="269"/>
      <c r="L87" s="269"/>
      <c r="M87" s="959"/>
      <c r="AA87" s="126"/>
    </row>
    <row r="88" spans="1:27" ht="15" customHeight="1">
      <c r="A88" s="966" t="s">
        <v>1246</v>
      </c>
      <c r="B88" s="966"/>
      <c r="C88" s="269"/>
      <c r="D88" s="595"/>
      <c r="E88" s="969">
        <f>ActDisabilityRM+EstDisabilityRM</f>
        <v>0</v>
      </c>
      <c r="F88" s="1200" t="s">
        <v>1253</v>
      </c>
      <c r="G88" s="269"/>
      <c r="H88" s="269"/>
      <c r="I88" s="269"/>
      <c r="J88" s="952">
        <f>SUM(J85:J87)</f>
        <v>3685972.87</v>
      </c>
      <c r="K88" s="269"/>
      <c r="L88" s="269"/>
      <c r="M88" s="959"/>
      <c r="AA88" s="126"/>
    </row>
    <row r="89" spans="1:27" ht="15" customHeight="1" thickBot="1">
      <c r="A89" s="966" t="s">
        <v>647</v>
      </c>
      <c r="B89" s="966"/>
      <c r="C89" s="269"/>
      <c r="D89" s="595" t="s">
        <v>490</v>
      </c>
      <c r="E89" s="979">
        <f>E83</f>
        <v>3.07</v>
      </c>
      <c r="F89" s="1201"/>
      <c r="G89" s="885"/>
      <c r="H89" s="885"/>
      <c r="I89" s="885"/>
      <c r="J89" s="885"/>
      <c r="K89" s="269"/>
      <c r="L89" s="269"/>
      <c r="M89" s="959"/>
      <c r="AA89" s="126"/>
    </row>
    <row r="90" spans="1:27" ht="15" customHeight="1" thickBot="1">
      <c r="A90" s="966" t="s">
        <v>652</v>
      </c>
      <c r="B90" s="269"/>
      <c r="C90" s="269"/>
      <c r="D90" s="269"/>
      <c r="E90" s="977">
        <f>ROUND(E88*E89,2)</f>
        <v>0</v>
      </c>
      <c r="F90" s="1202" t="s">
        <v>1254</v>
      </c>
      <c r="G90" s="981"/>
      <c r="H90" s="981"/>
      <c r="I90" s="982"/>
      <c r="J90" s="983">
        <f>IF(J81&gt;J88,J88,J81)</f>
        <v>3137717.39</v>
      </c>
      <c r="K90" s="302"/>
      <c r="L90" s="269"/>
      <c r="M90" s="959"/>
      <c r="AA90" s="126"/>
    </row>
    <row r="91" spans="1:27" ht="15" customHeight="1">
      <c r="A91" s="269" t="s">
        <v>653</v>
      </c>
      <c r="B91" s="269"/>
      <c r="C91" s="283" t="s">
        <v>654</v>
      </c>
      <c r="D91" s="283" t="s">
        <v>655</v>
      </c>
      <c r="E91" s="984"/>
      <c r="AA91" s="126"/>
    </row>
    <row r="92" spans="1:27" ht="15" customHeight="1">
      <c r="A92" s="269" t="s">
        <v>1247</v>
      </c>
      <c r="B92" s="269"/>
      <c r="C92" s="985">
        <f>AnnualExpforBusPass</f>
        <v>0</v>
      </c>
      <c r="D92" s="985">
        <f>AnnualExpforBusToken</f>
        <v>0</v>
      </c>
      <c r="E92" s="986">
        <f>C92+D92</f>
        <v>0</v>
      </c>
      <c r="AA92" s="126"/>
    </row>
    <row r="93" spans="1:27" ht="15" customHeight="1">
      <c r="A93" s="1298" t="s">
        <v>1248</v>
      </c>
      <c r="B93" s="269"/>
      <c r="C93" s="269"/>
      <c r="D93" s="269"/>
      <c r="E93" s="977">
        <f>E85+E87+E90+E92</f>
        <v>280367.14</v>
      </c>
      <c r="F93" s="987"/>
      <c r="G93" s="269"/>
      <c r="H93" s="269"/>
      <c r="I93" s="269"/>
      <c r="J93" s="269"/>
      <c r="K93" s="269"/>
      <c r="L93" s="269"/>
      <c r="M93" s="959"/>
      <c r="AA93" s="126"/>
    </row>
    <row r="94" spans="1:27" ht="15" customHeight="1" thickBot="1">
      <c r="A94" s="988"/>
      <c r="B94" s="885"/>
      <c r="C94" s="885"/>
      <c r="D94" s="885"/>
      <c r="E94" s="989"/>
      <c r="F94" s="987"/>
      <c r="G94" s="269"/>
      <c r="H94" s="269"/>
      <c r="I94" s="269"/>
      <c r="J94" s="269"/>
      <c r="K94" s="269"/>
      <c r="L94" s="269"/>
      <c r="M94" s="959"/>
      <c r="AA94" s="126"/>
    </row>
    <row r="95" spans="1:27" ht="15" customHeight="1">
      <c r="A95" s="269"/>
      <c r="B95" s="269"/>
      <c r="C95" s="269"/>
      <c r="D95" s="269"/>
      <c r="E95" s="990"/>
      <c r="F95" s="987"/>
      <c r="G95" s="302"/>
      <c r="H95" s="269"/>
      <c r="I95" s="269"/>
      <c r="J95" s="269"/>
      <c r="K95" s="269"/>
      <c r="L95" s="269"/>
      <c r="M95" s="959"/>
      <c r="AA95" s="126"/>
    </row>
    <row r="96" spans="1:27" ht="15" customHeight="1">
      <c r="A96" s="960" t="s">
        <v>656</v>
      </c>
      <c r="B96" s="302"/>
      <c r="C96" s="302"/>
      <c r="D96" s="302"/>
      <c r="E96" s="967"/>
      <c r="F96" s="987"/>
      <c r="G96" s="269"/>
      <c r="H96" s="269"/>
      <c r="I96" s="269"/>
      <c r="J96" s="269"/>
      <c r="K96" s="269"/>
      <c r="L96" s="269"/>
      <c r="M96" s="959"/>
      <c r="AA96" s="126"/>
    </row>
    <row r="97" spans="1:27" ht="15" customHeight="1">
      <c r="A97" s="269" t="s">
        <v>1255</v>
      </c>
      <c r="B97" s="269"/>
      <c r="C97" s="269"/>
      <c r="D97" s="595"/>
      <c r="E97" s="991">
        <f t="array" ref="E97">[1]!CYTRCL</f>
        <v>828622.62</v>
      </c>
      <c r="F97" s="987"/>
      <c r="G97" s="269"/>
      <c r="H97" s="269"/>
      <c r="I97" s="269"/>
      <c r="J97" s="269"/>
      <c r="K97" s="269"/>
      <c r="L97" s="269"/>
      <c r="M97" s="959"/>
      <c r="AA97" s="126"/>
    </row>
    <row r="98" spans="1:27" ht="15" customHeight="1">
      <c r="A98" s="992"/>
      <c r="B98" s="992"/>
      <c r="C98" s="992"/>
      <c r="D98" s="992"/>
      <c r="E98" s="967"/>
      <c r="F98" s="987"/>
      <c r="G98" s="269"/>
      <c r="H98" s="269"/>
      <c r="I98" s="269"/>
      <c r="J98" s="269"/>
      <c r="K98" s="269"/>
      <c r="L98" s="269"/>
      <c r="M98" s="959"/>
      <c r="AA98" s="126"/>
    </row>
    <row r="99" spans="1:27" ht="15" customHeight="1">
      <c r="A99" s="1206" t="s">
        <v>657</v>
      </c>
      <c r="B99" s="269" t="s">
        <v>1256</v>
      </c>
      <c r="C99" s="993">
        <f>TSL</f>
        <v>280367.14</v>
      </c>
      <c r="D99" s="269"/>
      <c r="E99" s="967"/>
      <c r="F99" s="987"/>
      <c r="G99" s="269"/>
      <c r="H99" s="269"/>
      <c r="I99" s="269"/>
      <c r="J99" s="269"/>
      <c r="K99" s="269"/>
      <c r="L99" s="269"/>
      <c r="M99" s="959"/>
      <c r="AA99" s="126"/>
    </row>
    <row r="100" spans="1:27" ht="15" customHeight="1" thickBot="1">
      <c r="A100" s="269"/>
      <c r="B100" s="269" t="s">
        <v>1257</v>
      </c>
      <c r="C100" s="994">
        <f t="array" ref="C100">[1]!TSL</f>
        <v>290337.19</v>
      </c>
      <c r="D100" s="269"/>
      <c r="E100" s="967"/>
      <c r="F100" s="987"/>
      <c r="G100" s="269"/>
      <c r="H100" s="269"/>
      <c r="I100" s="269"/>
      <c r="J100" s="269"/>
      <c r="K100" s="269"/>
      <c r="L100" s="269"/>
      <c r="M100" s="959"/>
      <c r="AA100" s="126"/>
    </row>
    <row r="101" spans="1:27" ht="15" customHeight="1" thickBot="1">
      <c r="A101" s="269"/>
      <c r="B101" s="269" t="s">
        <v>658</v>
      </c>
      <c r="C101" s="995">
        <f>IF(C99-C100&gt;0,C99-C100,0)</f>
        <v>0</v>
      </c>
      <c r="D101" s="269"/>
      <c r="E101" s="967"/>
      <c r="F101" s="987"/>
      <c r="G101" s="269"/>
      <c r="H101" s="269"/>
      <c r="I101" s="269"/>
      <c r="J101" s="269"/>
      <c r="K101" s="269"/>
      <c r="L101" s="269"/>
      <c r="M101" s="959"/>
      <c r="AA101" s="126"/>
    </row>
    <row r="102" spans="1:27" ht="15" customHeight="1">
      <c r="A102" s="269"/>
      <c r="B102" s="269"/>
      <c r="C102" s="269"/>
      <c r="D102" s="269"/>
      <c r="E102" s="967"/>
      <c r="F102" s="987"/>
      <c r="G102" s="269"/>
      <c r="H102" s="269"/>
      <c r="I102" s="269"/>
      <c r="J102" s="269"/>
      <c r="K102" s="269"/>
      <c r="L102" s="269"/>
      <c r="M102" s="959"/>
      <c r="AA102" s="126"/>
    </row>
    <row r="103" spans="1:27" ht="15" customHeight="1">
      <c r="A103" s="269" t="s">
        <v>1258</v>
      </c>
      <c r="B103" s="269"/>
      <c r="C103" s="269"/>
      <c r="D103" s="595"/>
      <c r="E103" s="991">
        <f>C101+E97</f>
        <v>828622.62</v>
      </c>
      <c r="F103" s="987"/>
      <c r="G103" s="269"/>
      <c r="H103" s="269"/>
      <c r="I103" s="269"/>
      <c r="J103" s="269"/>
      <c r="K103" s="269"/>
      <c r="L103" s="269"/>
      <c r="M103" s="959"/>
      <c r="AA103" s="126"/>
    </row>
    <row r="104" spans="1:27" ht="15" customHeight="1">
      <c r="A104" s="1206" t="s">
        <v>1259</v>
      </c>
      <c r="B104" s="595"/>
      <c r="C104" s="993">
        <f>E93*1.2</f>
        <v>336440.57</v>
      </c>
      <c r="D104" s="269"/>
      <c r="E104" s="967"/>
      <c r="F104" s="987"/>
      <c r="G104" s="269"/>
      <c r="H104" s="269"/>
      <c r="I104" s="269"/>
      <c r="J104" s="269"/>
      <c r="K104" s="269"/>
      <c r="L104" s="269"/>
      <c r="M104" s="959"/>
      <c r="AA104" s="126"/>
    </row>
    <row r="105" spans="1:27" ht="15" customHeight="1">
      <c r="A105" s="644" t="s">
        <v>1252</v>
      </c>
      <c r="B105" s="269"/>
      <c r="C105" s="269"/>
      <c r="D105" s="595"/>
      <c r="E105" s="996">
        <f>MAX(TSL,IF(PremFYTRCL&gt;AdjFYTRCL,TRCLBudgPY,PremFYTRCL))</f>
        <v>828622.62</v>
      </c>
      <c r="F105" s="987"/>
      <c r="G105" s="269"/>
      <c r="H105" s="269"/>
      <c r="I105" s="269"/>
      <c r="J105" s="269"/>
      <c r="K105" s="269"/>
      <c r="L105" s="269"/>
      <c r="M105" s="959"/>
      <c r="AA105" s="126"/>
    </row>
    <row r="106" spans="1:27" ht="15" customHeight="1">
      <c r="A106" s="269"/>
      <c r="B106" s="269"/>
      <c r="C106" s="269"/>
      <c r="D106" s="269"/>
      <c r="E106" s="269"/>
      <c r="F106" s="269"/>
      <c r="G106" s="269"/>
      <c r="H106" s="269"/>
      <c r="I106" s="269"/>
      <c r="J106" s="269"/>
      <c r="K106" s="269"/>
      <c r="L106" s="269"/>
      <c r="M106" s="959"/>
      <c r="AA106" s="126"/>
    </row>
    <row r="107" spans="1:27" ht="15" customHeight="1">
      <c r="M107" s="97"/>
      <c r="AA107" s="126"/>
    </row>
    <row r="108" spans="1:27" ht="15" customHeight="1">
      <c r="A108" s="310"/>
      <c r="B108" s="310"/>
      <c r="C108" s="310"/>
      <c r="D108" s="1810" t="str">
        <f>IF(DistrictName&lt;&gt;0,DistrictName,"")</f>
        <v>Stanfield Elementary School District</v>
      </c>
      <c r="E108" s="1810"/>
      <c r="F108" s="1810"/>
      <c r="G108" s="1810"/>
      <c r="H108" s="1810"/>
      <c r="I108" s="310"/>
      <c r="J108" s="310"/>
      <c r="K108" s="310"/>
      <c r="L108" s="310"/>
      <c r="M108" s="310"/>
      <c r="AA108" s="126"/>
    </row>
    <row r="109" spans="1:27" ht="34.5" customHeight="1">
      <c r="A109" s="309"/>
      <c r="B109" s="309"/>
      <c r="C109" s="309"/>
      <c r="D109" s="1885" t="s">
        <v>597</v>
      </c>
      <c r="E109" s="1885"/>
      <c r="F109" s="1885"/>
      <c r="G109" s="1885"/>
      <c r="H109" s="1885"/>
      <c r="I109" s="309"/>
      <c r="J109" s="309"/>
      <c r="K109" s="309"/>
      <c r="L109" s="309"/>
      <c r="M109" s="309"/>
      <c r="AA109" s="126"/>
    </row>
    <row r="110" spans="1:27" ht="15" customHeight="1" thickBot="1">
      <c r="A110" s="885"/>
      <c r="B110" s="885"/>
      <c r="C110" s="885"/>
      <c r="D110" s="885"/>
      <c r="E110" s="885"/>
      <c r="F110" s="884" t="s">
        <v>598</v>
      </c>
      <c r="G110" s="885" t="str">
        <f>IF(AND(SmallIsolatedPSD8Checkbox="X",SmallIsolated912Checkbox="X"),"Elementary and High School",IF(SmallIsolatedPSD8Checkbox="X","Elementary",IF(SmallIsolated912Checkbox="X","High School","Not Isolated")))</f>
        <v>Not Isolated</v>
      </c>
      <c r="H110" s="885"/>
      <c r="I110" s="885"/>
      <c r="J110" s="885"/>
      <c r="K110" s="885"/>
      <c r="L110" s="886" t="s">
        <v>599</v>
      </c>
      <c r="M110" s="886" t="s">
        <v>659</v>
      </c>
      <c r="AA110" s="97"/>
    </row>
    <row r="111" spans="1:27" ht="15" customHeight="1">
      <c r="A111" s="269"/>
      <c r="B111" s="269"/>
      <c r="C111" s="269"/>
      <c r="D111" s="269"/>
      <c r="E111" s="269"/>
      <c r="F111" s="269"/>
      <c r="G111" s="269"/>
      <c r="H111" s="269"/>
      <c r="I111" s="269"/>
      <c r="J111" s="269"/>
      <c r="K111" s="269"/>
      <c r="L111" s="269"/>
      <c r="M111" s="959"/>
      <c r="AA111" s="126"/>
    </row>
    <row r="112" spans="1:27" ht="20.399999999999999">
      <c r="A112" s="997" t="s">
        <v>660</v>
      </c>
      <c r="B112" s="998"/>
      <c r="C112" s="998"/>
      <c r="D112" s="998"/>
      <c r="E112" s="999" t="s">
        <v>429</v>
      </c>
      <c r="F112" s="1000"/>
      <c r="G112" s="999" t="s">
        <v>430</v>
      </c>
      <c r="H112" s="1000"/>
      <c r="I112" s="1001" t="s">
        <v>431</v>
      </c>
      <c r="J112" s="1000"/>
      <c r="K112" s="1002" t="s">
        <v>661</v>
      </c>
      <c r="L112" s="1003"/>
      <c r="M112" s="999" t="s">
        <v>360</v>
      </c>
      <c r="O112" s="96"/>
      <c r="AA112" s="126"/>
    </row>
    <row r="113" spans="1:27" ht="15" customHeight="1">
      <c r="A113" s="269" t="s">
        <v>1260</v>
      </c>
      <c r="B113" s="269"/>
      <c r="C113" s="269"/>
      <c r="D113" s="269"/>
      <c r="E113" s="894">
        <f>UnweightedStudCntPSDPY</f>
        <v>0.29049999999999998</v>
      </c>
      <c r="F113" s="1004"/>
      <c r="G113" s="894">
        <f>UnweightedStudCntK8PY</f>
        <v>325.38459999999998</v>
      </c>
      <c r="H113" s="1005"/>
      <c r="I113" s="894">
        <f>UnweightedStudCnt912PY</f>
        <v>0</v>
      </c>
      <c r="J113" s="1005"/>
      <c r="K113" s="920">
        <f>IF(VALUE(LEFT(RIGHT(L1,7),2))=3,(HSCountDORtoDOA),0)</f>
        <v>0</v>
      </c>
      <c r="L113" s="1006"/>
      <c r="M113" s="1007"/>
      <c r="O113" s="96"/>
      <c r="AA113" s="126"/>
    </row>
    <row r="114" spans="1:27" ht="15" customHeight="1" thickBot="1">
      <c r="A114" s="269" t="s">
        <v>662</v>
      </c>
      <c r="B114" s="269"/>
      <c r="C114" s="269"/>
      <c r="D114" s="595" t="s">
        <v>490</v>
      </c>
      <c r="E114" s="1008">
        <f>IF(E113=0,0,Calculations!L77)</f>
        <v>549.45000000000005</v>
      </c>
      <c r="F114" s="595" t="s">
        <v>490</v>
      </c>
      <c r="G114" s="994">
        <f>IF(VALUE(LEFT(RIGHT(L1,7),2))=8,0,IF(AND(UnweightedStudCntK8PY&gt;0,UnweightedStudCntK8PY&lt;100),Calculations!L52,IF(AND(Calculations!L56&gt;0),Calculations!L63,IF(AND(Calculations!L67&gt;0),Calculations!L74,IF(UnweightedStudCntK8PY&gt;=600,Calculations!L77,0)))))</f>
        <v>631.04999999999995</v>
      </c>
      <c r="H114" s="595" t="s">
        <v>490</v>
      </c>
      <c r="I114" s="994">
        <f>IF(I113=0,0,IF(VALUE(LEFT(RIGHT(L1,7),2))=3,AA168/2,AA168))</f>
        <v>0</v>
      </c>
      <c r="J114" s="595" t="s">
        <v>490</v>
      </c>
      <c r="K114" s="1009">
        <f>IF(K113=0,0,IF(VALUE(LEFT(RIGHT(L1,7),2))=3,AA168/2,AA168))</f>
        <v>0</v>
      </c>
      <c r="L114" s="1010"/>
      <c r="M114" s="1011"/>
      <c r="O114" s="96"/>
      <c r="AA114" s="126"/>
    </row>
    <row r="115" spans="1:27" ht="15" customHeight="1">
      <c r="A115" s="1298" t="s">
        <v>663</v>
      </c>
      <c r="B115" s="269"/>
      <c r="C115" s="269"/>
      <c r="D115" s="595" t="s">
        <v>489</v>
      </c>
      <c r="E115" s="993">
        <f>IF(E113&gt;0,ROUND(E113*E114,2),0)</f>
        <v>159.62</v>
      </c>
      <c r="F115" s="595" t="s">
        <v>489</v>
      </c>
      <c r="G115" s="993">
        <f>IF(G113&gt;0,ROUND(G113*G114,2),0)</f>
        <v>205333.95</v>
      </c>
      <c r="H115" s="595" t="s">
        <v>489</v>
      </c>
      <c r="I115" s="993">
        <f>IF(OR(I113&gt;0),I113*I114,0)</f>
        <v>0</v>
      </c>
      <c r="J115" s="595" t="s">
        <v>489</v>
      </c>
      <c r="K115" s="1012">
        <f>IF(OR(K113&gt;0),K113*K114,0)</f>
        <v>0</v>
      </c>
      <c r="L115" s="1013"/>
      <c r="M115" s="1014">
        <f>(E113*E114)+(G113*G114)+(I113*I114)+(K113*K114)</f>
        <v>205493.57</v>
      </c>
      <c r="O115" s="96"/>
      <c r="AA115" s="97"/>
    </row>
    <row r="116" spans="1:27" ht="15" customHeight="1">
      <c r="A116" s="1015" t="s">
        <v>664</v>
      </c>
      <c r="B116" s="269"/>
      <c r="C116" s="269"/>
      <c r="D116" s="269"/>
      <c r="E116" s="595"/>
      <c r="F116" s="269"/>
      <c r="G116" s="595"/>
      <c r="H116" s="269"/>
      <c r="I116" s="595"/>
      <c r="J116" s="269"/>
      <c r="K116" s="595"/>
      <c r="L116" s="269"/>
      <c r="M116" s="1007"/>
      <c r="N116" s="96"/>
      <c r="O116" s="96"/>
      <c r="AA116" s="126"/>
    </row>
    <row r="117" spans="1:27" ht="15" customHeight="1">
      <c r="A117" s="960" t="s">
        <v>665</v>
      </c>
      <c r="B117" s="269"/>
      <c r="C117" s="269"/>
      <c r="D117" s="269"/>
      <c r="E117" s="595"/>
      <c r="F117" s="269"/>
      <c r="G117" s="595"/>
      <c r="H117" s="269"/>
      <c r="I117" s="595"/>
      <c r="J117" s="269"/>
      <c r="K117" s="595"/>
      <c r="L117" s="269"/>
      <c r="M117" s="1007"/>
      <c r="N117" s="96"/>
      <c r="O117" s="96"/>
      <c r="AA117" s="126"/>
    </row>
    <row r="118" spans="1:27" ht="15" customHeight="1">
      <c r="A118" s="269" t="s">
        <v>1260</v>
      </c>
      <c r="B118" s="269"/>
      <c r="C118" s="891">
        <f>IF(VALUE(LEFT(RIGHT(L1,7),2))=3,'Data Entry'!G29+UnweightedStudCntK8PY+UnweightedStudCnt912PY+HSCountDORtoDOA,'Data Entry'!G29+UnweightedStudCntK8PY+UnweightedStudCnt912PY)</f>
        <v>325.67509999999999</v>
      </c>
      <c r="D118" s="269"/>
      <c r="E118" s="595"/>
      <c r="F118" s="269"/>
      <c r="G118" s="595"/>
      <c r="H118" s="269"/>
      <c r="I118" s="595"/>
      <c r="J118" s="269"/>
      <c r="K118" s="595"/>
      <c r="L118" s="269"/>
      <c r="M118" s="1007"/>
      <c r="N118" s="96"/>
      <c r="O118" s="96"/>
      <c r="AA118" s="126"/>
    </row>
    <row r="119" spans="1:27" ht="15" customHeight="1" thickBot="1">
      <c r="A119" s="269" t="s">
        <v>1261</v>
      </c>
      <c r="B119" s="595" t="s">
        <v>666</v>
      </c>
      <c r="C119" s="1016">
        <f>PY100DayADM</f>
        <v>328.01620000000003</v>
      </c>
      <c r="D119" s="269"/>
      <c r="E119" s="595"/>
      <c r="F119" s="269"/>
      <c r="G119" s="595"/>
      <c r="H119" s="269"/>
      <c r="I119" s="595"/>
      <c r="J119" s="269"/>
      <c r="K119" s="595"/>
      <c r="L119" s="269"/>
      <c r="M119" s="1007"/>
      <c r="N119" s="96"/>
      <c r="O119" s="96"/>
      <c r="AA119" s="126"/>
    </row>
    <row r="120" spans="1:27" ht="15" customHeight="1">
      <c r="A120" s="269" t="s">
        <v>1262</v>
      </c>
      <c r="B120" s="595" t="s">
        <v>489</v>
      </c>
      <c r="C120" s="891">
        <f>IF(C119&gt;0,ROUND(+C118/C119,10),0)</f>
        <v>0.9929</v>
      </c>
      <c r="E120" s="1212"/>
      <c r="G120" s="1212"/>
      <c r="I120" s="1212"/>
      <c r="K120" s="1212"/>
      <c r="L120" s="269"/>
      <c r="M120" s="1007"/>
      <c r="N120" s="96"/>
      <c r="O120" s="96"/>
      <c r="AA120" s="126"/>
    </row>
    <row r="121" spans="1:27" ht="15" customHeight="1" thickBot="1">
      <c r="A121" s="269" t="s">
        <v>1263</v>
      </c>
      <c r="B121" s="269"/>
      <c r="C121" s="269"/>
      <c r="D121" s="595" t="s">
        <v>490</v>
      </c>
      <c r="E121" s="1017">
        <f>IF(IF(C119&gt;0,ROUND(+C118/C119,10),0)&gt;0,IF(IF(C119&gt;0,ROUND(+C118/C119,10),0)&gt;1.05,+(IF(C119&gt;0,ROUND(+C118/C119,10),0)-1)/2+1,1),0)</f>
        <v>1</v>
      </c>
      <c r="F121" s="595" t="s">
        <v>490</v>
      </c>
      <c r="G121" s="1017">
        <f>IF(IF(C119&gt;0,ROUND(+C118/C119,10),0)&gt;0,IF(IF(C119&gt;0,ROUND(+C118/C119,10),0)&gt;1.05,+(IF(C119&gt;0,ROUND(+C118/C119,10),0)-1)/2+1,1),0)</f>
        <v>1</v>
      </c>
      <c r="H121" s="595" t="s">
        <v>490</v>
      </c>
      <c r="I121" s="1017">
        <f>IF(IF(C119&gt;0,ROUND(+C118/C119,10),0)&gt;0,IF(IF(C119&gt;0,ROUND(+C118/C119,10),0)&gt;1.05,+(IF(C119&gt;0,ROUND(+C118/C119,10),0)-1)/2+1,1),0)</f>
        <v>1</v>
      </c>
      <c r="J121" s="595" t="s">
        <v>490</v>
      </c>
      <c r="K121" s="1017">
        <f>IF(IF(C119&gt;0,ROUND(+C118/C119,10),0)&gt;0,IF(IF(C119&gt;0,ROUND(+C118/C119,10),0)&gt;1.05,+(IF(C119&gt;0,ROUND(+C118/C119,10),0)-1)/2+1,1),0)</f>
        <v>1</v>
      </c>
      <c r="L121" s="269"/>
      <c r="M121" s="1007"/>
      <c r="N121" s="96"/>
      <c r="O121" s="96"/>
      <c r="AA121" s="126"/>
    </row>
    <row r="122" spans="1:27" ht="15" customHeight="1">
      <c r="A122" s="1896" t="s">
        <v>667</v>
      </c>
      <c r="B122" s="1896"/>
      <c r="C122" s="1896"/>
      <c r="D122" s="1018"/>
      <c r="E122" s="269"/>
      <c r="F122" s="269"/>
      <c r="G122" s="269"/>
      <c r="H122" s="269"/>
      <c r="I122" s="269"/>
      <c r="J122" s="269"/>
      <c r="K122" s="595"/>
      <c r="L122" s="269"/>
      <c r="M122" s="595"/>
      <c r="N122" s="96"/>
      <c r="O122" s="96"/>
      <c r="AA122" s="126"/>
    </row>
    <row r="123" spans="1:27" ht="15" customHeight="1">
      <c r="A123" s="1896"/>
      <c r="B123" s="1896"/>
      <c r="C123" s="1896"/>
      <c r="D123" s="1018"/>
      <c r="E123" s="269"/>
      <c r="F123" s="269"/>
      <c r="G123" s="269"/>
      <c r="H123" s="269"/>
      <c r="I123" s="269"/>
      <c r="J123" s="269"/>
      <c r="K123" s="595"/>
      <c r="L123" s="269"/>
      <c r="M123" s="1007"/>
      <c r="N123" s="96"/>
      <c r="O123" s="96"/>
      <c r="AA123" s="126"/>
    </row>
    <row r="124" spans="1:27" ht="15" customHeight="1">
      <c r="A124" s="1298" t="s">
        <v>668</v>
      </c>
      <c r="B124" s="269"/>
      <c r="C124" s="269"/>
      <c r="D124" s="269"/>
      <c r="E124" s="939">
        <f>IF(E121&gt;0,ROUND(E115*E121,2),0)</f>
        <v>159.62</v>
      </c>
      <c r="F124" s="881"/>
      <c r="G124" s="1014">
        <f>IF(G121&gt;0,ROUND(G115*G121,2),0)</f>
        <v>205333.95</v>
      </c>
      <c r="H124" s="881"/>
      <c r="I124" s="1014">
        <f>IF(I121&gt;0,ROUND(I115*I121,2),0)</f>
        <v>0</v>
      </c>
      <c r="J124" s="881"/>
      <c r="K124" s="1014">
        <f>IF(K121&gt;0,ROUND(K115*K121,2),0)</f>
        <v>0</v>
      </c>
      <c r="L124" s="1298"/>
      <c r="M124" s="1014">
        <f>(IF(E121&gt;0,(E113*E114)*E121,0))+(IF(G121&gt;0,(G113*G114)*G121,0))+(IF(K121&gt;0,(K113*K114)*I121,0))+(IF(I121&gt;0,(I113*I114)*I121,0))</f>
        <v>205493.57</v>
      </c>
      <c r="N124" s="96"/>
      <c r="O124" s="96"/>
      <c r="AA124" s="126"/>
    </row>
    <row r="125" spans="1:27" ht="15" customHeight="1">
      <c r="A125" s="269"/>
      <c r="B125" s="269"/>
      <c r="C125" s="269"/>
      <c r="D125" s="269"/>
      <c r="E125" s="269"/>
      <c r="F125" s="269"/>
      <c r="G125" s="269"/>
      <c r="H125" s="269"/>
      <c r="I125" s="269"/>
      <c r="J125" s="269"/>
      <c r="K125" s="269"/>
      <c r="L125" s="269"/>
      <c r="M125" s="1007"/>
      <c r="N125" s="96"/>
      <c r="O125" s="96"/>
      <c r="AA125" s="126"/>
    </row>
    <row r="126" spans="1:27" ht="15" customHeight="1" thickBot="1">
      <c r="A126" s="1019" t="s">
        <v>669</v>
      </c>
      <c r="B126" s="269"/>
      <c r="C126" s="269"/>
      <c r="D126" s="269"/>
      <c r="E126" s="269"/>
      <c r="F126" s="269"/>
      <c r="G126" s="269"/>
      <c r="H126" s="269"/>
      <c r="I126" s="269"/>
      <c r="J126" s="269"/>
      <c r="K126" s="269"/>
      <c r="L126" s="269"/>
      <c r="M126" s="1007"/>
      <c r="N126" s="96"/>
      <c r="O126" s="96"/>
      <c r="AA126" s="126"/>
    </row>
    <row r="127" spans="1:27" ht="15" customHeight="1">
      <c r="A127" s="269" t="s">
        <v>1264</v>
      </c>
      <c r="B127" s="269"/>
      <c r="C127" s="269"/>
      <c r="D127" s="269"/>
      <c r="E127" s="269"/>
      <c r="F127" s="269"/>
      <c r="G127" s="269"/>
      <c r="H127" s="269"/>
      <c r="I127" s="891">
        <f>UnweightedStudCnt912PY</f>
        <v>0</v>
      </c>
      <c r="J127" s="269"/>
      <c r="K127" s="269"/>
      <c r="L127" s="269"/>
      <c r="M127" s="595"/>
      <c r="N127" s="96"/>
      <c r="O127" s="96"/>
      <c r="AA127" s="126"/>
    </row>
    <row r="128" spans="1:27" ht="15" customHeight="1">
      <c r="A128" s="269" t="s">
        <v>670</v>
      </c>
      <c r="B128" s="269"/>
      <c r="C128" s="269"/>
      <c r="D128" s="269"/>
      <c r="E128" s="269"/>
      <c r="F128" s="269"/>
      <c r="G128" s="269"/>
      <c r="H128" s="595" t="s">
        <v>490</v>
      </c>
      <c r="I128" s="1020">
        <v>84.93</v>
      </c>
      <c r="J128" s="269"/>
      <c r="K128" s="269"/>
      <c r="L128" s="269"/>
      <c r="M128" s="1007"/>
      <c r="N128" s="96"/>
      <c r="O128" s="96"/>
      <c r="AA128" s="126"/>
    </row>
    <row r="129" spans="1:28" ht="15" customHeight="1">
      <c r="A129" s="897" t="s">
        <v>669</v>
      </c>
      <c r="B129" s="269"/>
      <c r="C129" s="269"/>
      <c r="D129" s="269"/>
      <c r="E129" s="269"/>
      <c r="F129" s="269"/>
      <c r="G129" s="269"/>
      <c r="H129" s="269"/>
      <c r="I129" s="595"/>
      <c r="J129" s="269"/>
      <c r="K129" s="269"/>
      <c r="L129" s="269"/>
      <c r="M129" s="1014">
        <f>IF(I127&gt;0,ROUND(+I127*I128,2),0)</f>
        <v>0</v>
      </c>
      <c r="N129" s="96"/>
      <c r="O129" s="96"/>
      <c r="AA129" s="126"/>
    </row>
    <row r="130" spans="1:28" ht="15" customHeight="1">
      <c r="A130" s="269"/>
      <c r="B130" s="269"/>
      <c r="C130" s="269"/>
      <c r="D130" s="269"/>
      <c r="E130" s="269"/>
      <c r="F130" s="269"/>
      <c r="G130" s="269"/>
      <c r="H130" s="269"/>
      <c r="I130" s="269"/>
      <c r="J130" s="269"/>
      <c r="K130" s="269"/>
      <c r="L130" s="269"/>
      <c r="M130" s="1021"/>
      <c r="N130" s="96"/>
      <c r="O130" s="96"/>
      <c r="AA130" s="126"/>
    </row>
    <row r="131" spans="1:28" ht="15" customHeight="1" thickBot="1">
      <c r="A131" s="269"/>
      <c r="B131" s="269"/>
      <c r="C131" s="269"/>
      <c r="D131" s="269"/>
      <c r="E131" s="1022" t="s">
        <v>671</v>
      </c>
      <c r="F131" s="269"/>
      <c r="G131" s="1022" t="s">
        <v>431</v>
      </c>
      <c r="H131" s="269"/>
      <c r="I131" s="269"/>
      <c r="J131" s="269"/>
      <c r="K131" s="269"/>
      <c r="L131" s="269"/>
      <c r="M131" s="1021"/>
      <c r="N131" s="96"/>
      <c r="O131" s="96"/>
      <c r="AA131" s="126"/>
    </row>
    <row r="132" spans="1:28" ht="15" customHeight="1">
      <c r="A132" s="1298" t="s">
        <v>672</v>
      </c>
      <c r="B132" s="269"/>
      <c r="C132" s="269"/>
      <c r="D132" s="269"/>
      <c r="E132" s="993">
        <f>E124+G124</f>
        <v>205493.57</v>
      </c>
      <c r="F132" s="1023"/>
      <c r="G132" s="993">
        <f>I124+M129</f>
        <v>0</v>
      </c>
      <c r="H132" s="269"/>
      <c r="I132" s="269"/>
      <c r="J132" s="269"/>
      <c r="K132" s="269"/>
      <c r="L132" s="269"/>
      <c r="M132" s="1014">
        <f>E132+G132+G133</f>
        <v>205493.57</v>
      </c>
      <c r="N132" s="96"/>
      <c r="O132" s="96"/>
      <c r="AA132" s="126"/>
    </row>
    <row r="133" spans="1:28" ht="15" customHeight="1">
      <c r="A133" s="644" t="s">
        <v>661</v>
      </c>
      <c r="B133" s="269"/>
      <c r="C133" s="269"/>
      <c r="D133" s="305"/>
      <c r="E133" s="993"/>
      <c r="F133" s="1023"/>
      <c r="G133" s="993">
        <f>K124</f>
        <v>0</v>
      </c>
      <c r="H133" s="269"/>
      <c r="I133" s="269"/>
      <c r="J133" s="269"/>
      <c r="K133" s="269"/>
      <c r="L133" s="269"/>
      <c r="M133" s="1024"/>
      <c r="N133" s="96"/>
      <c r="O133" s="96"/>
      <c r="AA133" s="126"/>
    </row>
    <row r="134" spans="1:28" ht="15" customHeight="1" thickBot="1">
      <c r="A134" s="269"/>
      <c r="B134" s="269"/>
      <c r="C134" s="269"/>
      <c r="D134" s="269"/>
      <c r="E134" s="1008">
        <f>CapTransportAdjPSD+CapTransportAdjK8</f>
        <v>0</v>
      </c>
      <c r="F134" s="1023"/>
      <c r="G134" s="1008">
        <f>CapTransportAdj912</f>
        <v>0</v>
      </c>
      <c r="H134" s="269"/>
      <c r="I134" s="269"/>
      <c r="J134" s="269"/>
      <c r="K134" s="269"/>
      <c r="L134" s="269"/>
      <c r="M134" s="1025">
        <f>E134+G134</f>
        <v>0</v>
      </c>
      <c r="N134" s="96"/>
      <c r="O134" s="96"/>
      <c r="AA134" s="126"/>
    </row>
    <row r="135" spans="1:28" ht="15" customHeight="1">
      <c r="A135" s="1298" t="s">
        <v>673</v>
      </c>
      <c r="B135" s="269"/>
      <c r="C135" s="269"/>
      <c r="D135" s="269"/>
      <c r="E135" s="993">
        <f>SUM(E134)</f>
        <v>0</v>
      </c>
      <c r="F135" s="1023"/>
      <c r="G135" s="993">
        <f>G134</f>
        <v>0</v>
      </c>
      <c r="H135" s="269"/>
      <c r="I135" s="269"/>
      <c r="J135" s="269"/>
      <c r="K135" s="269"/>
      <c r="L135" s="269"/>
      <c r="M135" s="1014">
        <f>E135+G135</f>
        <v>0</v>
      </c>
      <c r="N135" s="96"/>
      <c r="O135" s="96"/>
      <c r="AA135" s="126"/>
    </row>
    <row r="136" spans="1:28" ht="15" customHeight="1">
      <c r="A136" s="1298" t="s">
        <v>902</v>
      </c>
      <c r="B136" s="269"/>
      <c r="C136" s="269"/>
      <c r="D136" s="269"/>
      <c r="E136" s="993">
        <f>E132+E135</f>
        <v>205493.57</v>
      </c>
      <c r="F136" s="1023"/>
      <c r="G136" s="993">
        <f>G135+G132+G133</f>
        <v>0</v>
      </c>
      <c r="H136" s="269"/>
      <c r="I136" s="269"/>
      <c r="J136" s="269"/>
      <c r="K136" s="269"/>
      <c r="L136" s="269"/>
      <c r="M136" s="939">
        <f>E136+G136</f>
        <v>205493.57</v>
      </c>
      <c r="N136" s="96"/>
      <c r="O136" s="96"/>
      <c r="AA136" s="126"/>
    </row>
    <row r="137" spans="1:28" ht="15" customHeight="1">
      <c r="E137" s="208"/>
      <c r="AA137" s="126"/>
    </row>
    <row r="138" spans="1:28" ht="15" customHeight="1">
      <c r="AA138" s="126"/>
    </row>
    <row r="139" spans="1:28" ht="15" customHeight="1">
      <c r="A139" s="310"/>
      <c r="B139" s="310"/>
      <c r="C139" s="310"/>
      <c r="D139" s="1810" t="str">
        <f>IF(DistrictName&lt;&gt;0,DistrictName,"")</f>
        <v>Stanfield Elementary School District</v>
      </c>
      <c r="E139" s="1810"/>
      <c r="F139" s="1810"/>
      <c r="G139" s="1810"/>
      <c r="H139" s="1810"/>
      <c r="I139" s="310"/>
      <c r="J139" s="310"/>
      <c r="K139" s="310"/>
      <c r="L139" s="310"/>
      <c r="M139" s="310"/>
    </row>
    <row r="140" spans="1:28" ht="34.5" customHeight="1">
      <c r="A140" s="309"/>
      <c r="B140" s="309"/>
      <c r="C140" s="309"/>
      <c r="D140" s="1885" t="s">
        <v>597</v>
      </c>
      <c r="E140" s="1885"/>
      <c r="F140" s="1885"/>
      <c r="G140" s="1885"/>
      <c r="H140" s="1885"/>
      <c r="I140" s="309"/>
      <c r="J140" s="309"/>
      <c r="K140" s="309"/>
      <c r="L140" s="309"/>
      <c r="M140" s="309"/>
      <c r="AA140" s="1026" t="str">
        <f>IF(AND(VALUE(LEFT(RIGHT(L1,7),2))=3,DailyRteMilesPerElgStud&gt;1),0.18,IF(AND(VALUE(LEFT(RIGHT(L1,7),2))=3,DailyRteMilesPerElgStud&lt;=1),0.15," "))</f>
        <v xml:space="preserve"> </v>
      </c>
    </row>
    <row r="141" spans="1:28" ht="15" customHeight="1" thickBot="1">
      <c r="A141" s="885"/>
      <c r="B141" s="885"/>
      <c r="C141" s="885"/>
      <c r="D141" s="885"/>
      <c r="E141" s="885"/>
      <c r="F141" s="884" t="s">
        <v>598</v>
      </c>
      <c r="G141" s="885" t="str">
        <f>IF(AND(SmallIsolatedPSD8Checkbox="X",SmallIsolated912Checkbox="X"),"Elementary and High School",IF(SmallIsolatedPSD8Checkbox="X","Elementary",IF(SmallIsolated912Checkbox="X","High School","Not Isolated")))</f>
        <v>Not Isolated</v>
      </c>
      <c r="H141" s="885"/>
      <c r="I141" s="885"/>
      <c r="J141" s="885"/>
      <c r="K141" s="885"/>
      <c r="L141" s="886" t="s">
        <v>599</v>
      </c>
      <c r="M141" s="886" t="s">
        <v>674</v>
      </c>
      <c r="AA141" s="1026" t="str">
        <f>IF(AND(VALUE(LEFT(RIGHT(L1,7),2))=2,DailyRteMilesPerElgStud&gt;1),0.18,IF(AND(VALUE(LEFT(RIGHT(L1,7),2))=2,DailyRteMilesPerElgStud&lt;=1),0.15," "))</f>
        <v xml:space="preserve"> </v>
      </c>
      <c r="AB141" s="250"/>
    </row>
    <row r="142" spans="1:28" ht="15" customHeight="1">
      <c r="A142" s="1027" t="s">
        <v>675</v>
      </c>
      <c r="B142" s="269"/>
      <c r="C142" s="269"/>
      <c r="D142" s="269"/>
      <c r="E142" s="302"/>
      <c r="F142" s="269"/>
      <c r="G142" s="302"/>
      <c r="H142" s="269"/>
      <c r="I142" s="1890" t="s">
        <v>676</v>
      </c>
      <c r="J142" s="302"/>
      <c r="K142" s="269"/>
      <c r="L142" s="302"/>
      <c r="M142" s="959"/>
      <c r="N142" s="96"/>
      <c r="AA142" s="1026">
        <f>IF(AND(VALUE(LEFT(RIGHT(L1,7),2))=4,DailyRteMilesPerElgStud&gt;1),0.12,IF(AND(VALUE(LEFT(RIGHT(L1,7),2))=4,DailyRteMilesPerElgStud&lt;=1),0.1," "))</f>
        <v>0.12</v>
      </c>
    </row>
    <row r="143" spans="1:28" ht="15" customHeight="1" thickBot="1">
      <c r="A143" s="269"/>
      <c r="B143" s="269"/>
      <c r="C143" s="269"/>
      <c r="D143" s="269"/>
      <c r="E143" s="1028" t="s">
        <v>677</v>
      </c>
      <c r="F143" s="269"/>
      <c r="G143" s="1022" t="s">
        <v>678</v>
      </c>
      <c r="H143" s="269"/>
      <c r="I143" s="1891"/>
      <c r="J143" s="302"/>
      <c r="K143" s="269"/>
      <c r="L143" s="1022" t="s">
        <v>903</v>
      </c>
      <c r="M143" s="959"/>
      <c r="N143" s="96"/>
      <c r="AA143" s="1026" t="str">
        <f>IF(AND(VALUE(LEFT(RIGHT(L1,7),2))=5,DailyRteMilesPerElgStud&gt;1),0.3,IF(AND(VALUE(LEFT(RIGHT(L1,7),2))=5,DailyRteMilesPerElgStud&lt;=1),0.25," "))</f>
        <v xml:space="preserve"> </v>
      </c>
    </row>
    <row r="144" spans="1:28" ht="15" customHeight="1">
      <c r="A144" s="269" t="s">
        <v>671</v>
      </c>
      <c r="B144" s="269"/>
      <c r="C144" s="269"/>
      <c r="D144" s="269"/>
      <c r="E144" s="891">
        <f>((C7*F7)+(D7*F7)+(E7*F7)+(C8*F8)+(D8*F8)+(E8*F8))</f>
        <v>445.4375</v>
      </c>
      <c r="F144" s="269"/>
      <c r="G144" s="1029">
        <f>ROUND(IF(E146&gt;0,(((C7*F7)+(D7*F7)+(E7*F7)+(C8*F8)+(D8*F8)+(E8*F8))/(((C7*F7)+(D7*F7)+(E7*F7)+(C8*F8)+(D8*F8)+(E8*F8))+((C9*F9)+(D9*F9)+(E9*F9)))),0),10)</f>
        <v>1</v>
      </c>
      <c r="H144" s="595" t="s">
        <v>490</v>
      </c>
      <c r="I144" s="1030">
        <f>IF(VALUE(LEFT(RIGHT(L1,7),2))=3,G144*J90,MIN(DSL,RCL))</f>
        <v>3137717.39</v>
      </c>
      <c r="J144" s="1031"/>
      <c r="K144" s="269"/>
      <c r="L144" s="1032">
        <f>G144*I144</f>
        <v>3137717.39</v>
      </c>
      <c r="M144" s="959"/>
      <c r="N144" s="96"/>
      <c r="AA144" s="1026"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89" t="s">
        <v>431</v>
      </c>
      <c r="B145" s="269"/>
      <c r="C145" s="269"/>
      <c r="D145" s="269"/>
      <c r="E145" s="891">
        <f>((C9*F9)+(D9*F9)+(E9*F9))</f>
        <v>0</v>
      </c>
      <c r="F145" s="269"/>
      <c r="G145" s="1029">
        <f>ROUND(IF(E146&gt;0,(((C9*F9)+(D9*F9)+(E9*F9))/(((C7*F7)+(D7*F7)+(E7*F7)+(C8*F8)+(D8*F8)+(E8*F8))+((C9*F9)+(D9*F9)+(E9*F9)))),0),10)</f>
        <v>0</v>
      </c>
      <c r="H145" s="595" t="s">
        <v>490</v>
      </c>
      <c r="I145" s="1030">
        <f>IF(VALUE(LEFT(RIGHT(L1,7),2))=3,G144*J90,MIN(DSL,RCL))</f>
        <v>3137717.39</v>
      </c>
      <c r="J145" s="1031"/>
      <c r="K145" s="595" t="s">
        <v>491</v>
      </c>
      <c r="L145" s="1023">
        <f>G145*I145</f>
        <v>0</v>
      </c>
      <c r="M145" s="959"/>
      <c r="N145" s="96"/>
      <c r="AA145" s="126"/>
    </row>
    <row r="146" spans="1:27" ht="15" customHeight="1" thickBot="1">
      <c r="A146" s="1028" t="s">
        <v>360</v>
      </c>
      <c r="B146" s="885"/>
      <c r="C146" s="885"/>
      <c r="D146" s="885"/>
      <c r="E146" s="1033">
        <f>E144+E145</f>
        <v>445.4375</v>
      </c>
      <c r="F146" s="885"/>
      <c r="G146" s="885"/>
      <c r="H146" s="885"/>
      <c r="I146" s="885"/>
      <c r="J146" s="885"/>
      <c r="K146" s="885"/>
      <c r="L146" s="1034">
        <f>SUM(L144:L145)</f>
        <v>3137717.39</v>
      </c>
      <c r="M146" s="976"/>
      <c r="N146" s="96"/>
      <c r="AA146" s="126"/>
    </row>
    <row r="147" spans="1:27" ht="15" customHeight="1">
      <c r="A147" s="269"/>
      <c r="B147" s="269"/>
      <c r="C147" s="269"/>
      <c r="D147" s="269"/>
      <c r="E147" s="269"/>
      <c r="F147" s="269"/>
      <c r="G147" s="269"/>
      <c r="H147" s="269"/>
      <c r="I147" s="269"/>
      <c r="J147" s="269"/>
      <c r="K147" s="269"/>
      <c r="L147" s="269"/>
      <c r="M147" s="959"/>
      <c r="N147" s="96"/>
      <c r="AA147" s="126"/>
    </row>
    <row r="148" spans="1:27" ht="15" customHeight="1" thickBot="1">
      <c r="A148" s="1027" t="s">
        <v>679</v>
      </c>
      <c r="B148" s="269"/>
      <c r="C148" s="269"/>
      <c r="D148" s="269"/>
      <c r="E148" s="1022" t="s">
        <v>671</v>
      </c>
      <c r="F148" s="269"/>
      <c r="G148" s="1022" t="s">
        <v>680</v>
      </c>
      <c r="H148" s="269"/>
      <c r="I148" s="269"/>
      <c r="J148" s="269"/>
      <c r="K148" s="269"/>
      <c r="L148" s="1022" t="s">
        <v>360</v>
      </c>
      <c r="M148" s="959"/>
      <c r="N148" s="96"/>
      <c r="AA148" s="126"/>
    </row>
    <row r="149" spans="1:27" ht="15" customHeight="1">
      <c r="A149" s="269" t="s">
        <v>681</v>
      </c>
      <c r="B149" s="269"/>
      <c r="C149" s="269"/>
      <c r="D149" s="269"/>
      <c r="E149" s="993">
        <f>PAV</f>
        <v>49503630</v>
      </c>
      <c r="F149" s="1023"/>
      <c r="G149" s="993">
        <f>PAV</f>
        <v>49503630</v>
      </c>
      <c r="H149" s="269"/>
      <c r="I149" s="269"/>
      <c r="J149" s="269"/>
      <c r="K149" s="269"/>
      <c r="L149" s="269"/>
      <c r="M149" s="959"/>
      <c r="N149" s="96"/>
      <c r="AA149" s="126"/>
    </row>
    <row r="150" spans="1:27" ht="15" customHeight="1">
      <c r="A150" s="269" t="s">
        <v>682</v>
      </c>
      <c r="B150" s="269"/>
      <c r="C150" s="269"/>
      <c r="D150" s="269"/>
      <c r="E150" s="993">
        <f>_PAV2</f>
        <v>0</v>
      </c>
      <c r="F150" s="1023"/>
      <c r="G150" s="993">
        <f>_PAV2</f>
        <v>0</v>
      </c>
      <c r="H150" s="269"/>
      <c r="I150" s="269"/>
      <c r="J150" s="269"/>
      <c r="K150" s="269"/>
      <c r="L150" s="269"/>
      <c r="M150" s="959"/>
      <c r="N150" s="96"/>
      <c r="AA150" s="126"/>
    </row>
    <row r="151" spans="1:27" ht="15" customHeight="1">
      <c r="A151" s="269" t="s">
        <v>683</v>
      </c>
      <c r="B151" s="269"/>
      <c r="C151" s="269"/>
      <c r="D151" s="269"/>
      <c r="E151" s="993">
        <f>SRPV</f>
        <v>1157464</v>
      </c>
      <c r="F151" s="1023"/>
      <c r="G151" s="993">
        <f>SRPV</f>
        <v>1157464</v>
      </c>
      <c r="H151" s="269"/>
      <c r="I151" s="269"/>
      <c r="J151" s="269"/>
      <c r="K151" s="269"/>
      <c r="L151" s="269"/>
      <c r="M151" s="959"/>
      <c r="N151" s="96"/>
      <c r="AA151" s="126"/>
    </row>
    <row r="152" spans="1:27" ht="15" customHeight="1" thickBot="1">
      <c r="A152" s="269" t="s">
        <v>684</v>
      </c>
      <c r="B152" s="269"/>
      <c r="C152" s="269"/>
      <c r="D152" s="269"/>
      <c r="E152" s="994">
        <f>GPLETV</f>
        <v>0</v>
      </c>
      <c r="F152" s="1023"/>
      <c r="G152" s="994">
        <f>GPLETV</f>
        <v>0</v>
      </c>
      <c r="H152" s="269"/>
      <c r="I152" s="269"/>
      <c r="J152" s="269"/>
      <c r="K152" s="269"/>
      <c r="L152" s="269"/>
      <c r="M152" s="959"/>
      <c r="N152" s="96"/>
      <c r="AA152" s="126"/>
    </row>
    <row r="153" spans="1:27" ht="15" customHeight="1">
      <c r="A153" s="1298" t="s">
        <v>685</v>
      </c>
      <c r="B153" s="269"/>
      <c r="C153" s="269"/>
      <c r="D153" s="269"/>
      <c r="E153" s="993">
        <f>SUM(E149:E152)</f>
        <v>50661094</v>
      </c>
      <c r="F153" s="1023"/>
      <c r="G153" s="993">
        <f>SUM(G149:G152)</f>
        <v>50661094</v>
      </c>
      <c r="H153" s="269"/>
      <c r="I153" s="269"/>
      <c r="J153" s="269"/>
      <c r="K153" s="269"/>
      <c r="L153" s="269"/>
      <c r="M153" s="959"/>
      <c r="N153" s="96"/>
      <c r="AA153" s="126"/>
    </row>
    <row r="154" spans="1:27" ht="15" customHeight="1" thickBot="1">
      <c r="A154" s="269"/>
      <c r="B154" s="269"/>
      <c r="C154" s="269"/>
      <c r="D154" s="595" t="s">
        <v>666</v>
      </c>
      <c r="E154" s="884">
        <v>100</v>
      </c>
      <c r="F154" s="595" t="s">
        <v>666</v>
      </c>
      <c r="G154" s="884">
        <v>100</v>
      </c>
      <c r="H154" s="269"/>
      <c r="I154" s="269"/>
      <c r="J154" s="269"/>
      <c r="K154" s="269"/>
      <c r="L154" s="269"/>
      <c r="M154" s="959"/>
      <c r="N154" s="96"/>
      <c r="AA154" s="126"/>
    </row>
    <row r="155" spans="1:27" ht="15" customHeight="1">
      <c r="A155" s="269"/>
      <c r="B155" s="269"/>
      <c r="C155" s="269"/>
      <c r="D155" s="269"/>
      <c r="E155" s="993">
        <f>E153/E154</f>
        <v>506610.94</v>
      </c>
      <c r="F155" s="1023"/>
      <c r="G155" s="993">
        <f>G153/G154</f>
        <v>506610.94</v>
      </c>
      <c r="H155" s="269"/>
      <c r="I155" s="269"/>
      <c r="J155" s="269"/>
      <c r="K155" s="269"/>
      <c r="L155" s="269"/>
      <c r="M155" s="959"/>
      <c r="N155" s="96"/>
      <c r="AA155" s="126"/>
    </row>
    <row r="156" spans="1:27" ht="15" customHeight="1" thickBot="1">
      <c r="A156" s="269" t="s">
        <v>686</v>
      </c>
      <c r="B156" s="269"/>
      <c r="C156" s="269"/>
      <c r="D156" s="595" t="s">
        <v>490</v>
      </c>
      <c r="E156" s="1017">
        <f>IF(VALUE(LEFT(RIGHT(L1,7),2))=8,0.05,QTR)</f>
        <v>1.5127999999999999</v>
      </c>
      <c r="F156" s="595" t="s">
        <v>490</v>
      </c>
      <c r="G156" s="1017">
        <f>IF(VALUE(LEFT(RIGHT(L1,7),2))=8,0.05,QTR)</f>
        <v>1.5127999999999999</v>
      </c>
      <c r="H156" s="269"/>
      <c r="I156" s="269"/>
      <c r="J156" s="269"/>
      <c r="K156" s="269"/>
      <c r="L156" s="269"/>
      <c r="M156" s="959"/>
      <c r="N156" s="96"/>
      <c r="AA156" s="126"/>
    </row>
    <row r="157" spans="1:27" ht="15" customHeight="1">
      <c r="A157" s="1298" t="s">
        <v>1265</v>
      </c>
      <c r="B157" s="269"/>
      <c r="C157" s="269"/>
      <c r="D157" s="269"/>
      <c r="E157" s="993">
        <f>E155*E156</f>
        <v>766401.03</v>
      </c>
      <c r="F157" s="1023"/>
      <c r="G157" s="993">
        <f>G155*G156</f>
        <v>766401.03</v>
      </c>
      <c r="H157" s="1023"/>
      <c r="I157" s="1023"/>
      <c r="J157" s="1023"/>
      <c r="K157" s="1023"/>
      <c r="L157" s="993">
        <f>E157+G157</f>
        <v>1532802.06</v>
      </c>
      <c r="M157" s="959"/>
      <c r="N157" s="96"/>
      <c r="AA157" s="126"/>
    </row>
    <row r="158" spans="1:27" ht="15" customHeight="1" thickBot="1">
      <c r="A158" s="885"/>
      <c r="B158" s="885"/>
      <c r="C158" s="885"/>
      <c r="D158" s="885"/>
      <c r="E158" s="885"/>
      <c r="F158" s="885"/>
      <c r="G158" s="885"/>
      <c r="H158" s="885"/>
      <c r="I158" s="885"/>
      <c r="J158" s="885"/>
      <c r="K158" s="885"/>
      <c r="L158" s="885"/>
      <c r="M158" s="976"/>
      <c r="N158" s="96"/>
      <c r="AA158" s="126"/>
    </row>
    <row r="159" spans="1:27" ht="15" customHeight="1">
      <c r="A159" s="302"/>
      <c r="B159" s="269"/>
      <c r="C159" s="269"/>
      <c r="D159" s="269"/>
      <c r="E159" s="269"/>
      <c r="F159" s="269"/>
      <c r="G159" s="269"/>
      <c r="H159" s="269"/>
      <c r="I159" s="269"/>
      <c r="J159" s="269"/>
      <c r="K159" s="269"/>
      <c r="L159" s="269"/>
      <c r="M159" s="959"/>
      <c r="N159" s="96"/>
      <c r="AA159" s="126"/>
    </row>
    <row r="160" spans="1:27" ht="15" customHeight="1">
      <c r="A160" s="960" t="s">
        <v>687</v>
      </c>
      <c r="B160" s="269"/>
      <c r="C160" s="269"/>
      <c r="D160" s="269"/>
      <c r="E160" s="269"/>
      <c r="F160" s="269"/>
      <c r="G160" s="269"/>
      <c r="H160" s="269"/>
      <c r="I160" s="269"/>
      <c r="J160" s="269"/>
      <c r="K160" s="269"/>
      <c r="L160" s="269"/>
      <c r="M160" s="959"/>
      <c r="N160" s="96"/>
      <c r="AA160" s="126"/>
    </row>
    <row r="161" spans="1:27" ht="15" customHeight="1" thickBot="1">
      <c r="A161" s="269"/>
      <c r="B161" s="269"/>
      <c r="C161" s="269"/>
      <c r="D161" s="269"/>
      <c r="E161" s="1022" t="s">
        <v>671</v>
      </c>
      <c r="F161" s="269"/>
      <c r="G161" s="1022" t="s">
        <v>431</v>
      </c>
      <c r="H161" s="269"/>
      <c r="I161" s="269"/>
      <c r="J161" s="269"/>
      <c r="K161" s="269"/>
      <c r="L161" s="1022" t="s">
        <v>360</v>
      </c>
      <c r="M161" s="959"/>
      <c r="N161" s="96"/>
      <c r="AA161" s="126"/>
    </row>
    <row r="162" spans="1:27" ht="15" customHeight="1">
      <c r="A162" s="269" t="s">
        <v>688</v>
      </c>
      <c r="B162" s="269"/>
      <c r="C162" s="269"/>
      <c r="D162" s="269"/>
      <c r="E162" s="993">
        <f>L144</f>
        <v>3137717.39</v>
      </c>
      <c r="F162" s="269"/>
      <c r="G162" s="993">
        <f>L145</f>
        <v>0</v>
      </c>
      <c r="H162" s="269"/>
      <c r="I162" s="269"/>
      <c r="J162" s="269"/>
      <c r="K162" s="269"/>
      <c r="L162" s="993">
        <f>E162+G162</f>
        <v>3137717.39</v>
      </c>
      <c r="M162" s="959"/>
      <c r="N162" s="96"/>
      <c r="AA162" s="126"/>
    </row>
    <row r="163" spans="1:27" ht="15" customHeight="1">
      <c r="A163" s="269" t="s">
        <v>689</v>
      </c>
      <c r="B163" s="269"/>
      <c r="C163" s="269"/>
      <c r="D163" s="595" t="s">
        <v>491</v>
      </c>
      <c r="E163" s="993">
        <f>E136</f>
        <v>205493.57</v>
      </c>
      <c r="F163" s="595" t="s">
        <v>491</v>
      </c>
      <c r="G163" s="993">
        <f>G136</f>
        <v>0</v>
      </c>
      <c r="H163" s="269"/>
      <c r="I163" s="269"/>
      <c r="J163" s="269"/>
      <c r="K163" s="595" t="s">
        <v>491</v>
      </c>
      <c r="L163" s="993">
        <f>E163+G163</f>
        <v>205493.57</v>
      </c>
      <c r="M163" s="959"/>
      <c r="N163" s="96"/>
      <c r="AA163" s="126"/>
    </row>
    <row r="164" spans="1:27" ht="15" customHeight="1">
      <c r="A164" s="1298" t="s">
        <v>1266</v>
      </c>
      <c r="B164" s="269"/>
      <c r="C164" s="269"/>
      <c r="D164" s="595"/>
      <c r="E164" s="993">
        <f>SUM(E162:E163)</f>
        <v>3343210.96</v>
      </c>
      <c r="F164" s="269"/>
      <c r="G164" s="1012">
        <f>SUM(G162:G163)</f>
        <v>0</v>
      </c>
      <c r="H164" s="269"/>
      <c r="I164" s="269"/>
      <c r="J164" s="269"/>
      <c r="K164" s="595"/>
      <c r="L164" s="1012">
        <f>EqualBasePSD8+EqualBase912</f>
        <v>3343210.96</v>
      </c>
      <c r="M164" s="959"/>
      <c r="N164" s="96"/>
      <c r="AA164" s="126"/>
    </row>
    <row r="165" spans="1:27" ht="15" customHeight="1" thickBot="1">
      <c r="A165" s="1298" t="s">
        <v>1267</v>
      </c>
      <c r="B165" s="269"/>
      <c r="C165" s="269"/>
      <c r="D165" s="595" t="s">
        <v>487</v>
      </c>
      <c r="E165" s="994">
        <f>MIN(IF(VALUE(LEFT(RIGHT(L1,7),2))=8,0,IF(E150&gt;0,(E149+E151+E152)*E156/100,E153*E156/100)),EqualBasePSD8)</f>
        <v>766401.03</v>
      </c>
      <c r="F165" s="595" t="s">
        <v>487</v>
      </c>
      <c r="G165" s="994">
        <f>MIN(IF(G150&gt;0,(G150+G151+G152)*G156/100,G153*G156/100),EqualBase912)</f>
        <v>0</v>
      </c>
      <c r="H165" s="269"/>
      <c r="I165" s="269"/>
      <c r="J165" s="269"/>
      <c r="K165" s="595" t="s">
        <v>487</v>
      </c>
      <c r="L165" s="994">
        <f>QLPSD8+_QL912</f>
        <v>766401.03</v>
      </c>
      <c r="M165" s="959"/>
      <c r="N165" s="96"/>
      <c r="AA165" s="126"/>
    </row>
    <row r="166" spans="1:27" ht="15" customHeight="1">
      <c r="A166" s="1298" t="s">
        <v>1268</v>
      </c>
      <c r="B166" s="269"/>
      <c r="C166" s="269"/>
      <c r="D166" s="269"/>
      <c r="E166" s="1012">
        <f>IF(E164-E165&lt;0,0,E164-E165)</f>
        <v>2576809.9300000002</v>
      </c>
      <c r="F166" s="269"/>
      <c r="G166" s="1012">
        <f>IF(G164-G165&lt;0,0,G164-G165)</f>
        <v>0</v>
      </c>
      <c r="H166" s="269"/>
      <c r="I166" s="269"/>
      <c r="J166" s="269"/>
      <c r="K166" s="269"/>
      <c r="L166" s="1012">
        <f>E166+G166</f>
        <v>2576809.9300000002</v>
      </c>
      <c r="M166" s="959"/>
      <c r="AA166" s="126"/>
    </row>
    <row r="167" spans="1:27" ht="15" customHeight="1">
      <c r="AA167" s="126"/>
    </row>
    <row r="168" spans="1:27" ht="15" customHeight="1">
      <c r="AA168" s="126">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26"/>
    </row>
    <row r="170" spans="1:27" ht="15" customHeight="1">
      <c r="AA170" s="126"/>
    </row>
    <row r="171" spans="1:27" ht="15" customHeight="1">
      <c r="AA171" s="126"/>
    </row>
    <row r="172" spans="1:27" ht="15" customHeight="1">
      <c r="AA172" s="126"/>
    </row>
    <row r="173" spans="1:27" ht="15" customHeight="1">
      <c r="AA173" s="126"/>
    </row>
    <row r="174" spans="1:27" ht="15" customHeight="1">
      <c r="AA174" s="126"/>
    </row>
    <row r="175" spans="1:27" ht="15" customHeight="1">
      <c r="AA175" s="126"/>
    </row>
    <row r="176" spans="1:27" ht="15" customHeight="1">
      <c r="AA176" s="126"/>
    </row>
    <row r="177" spans="27:27" ht="15" customHeight="1">
      <c r="AA177" s="126"/>
    </row>
    <row r="178" spans="27:27" ht="15" customHeight="1">
      <c r="AA178" s="126"/>
    </row>
    <row r="179" spans="27:27" ht="15" customHeight="1">
      <c r="AA179" s="126"/>
    </row>
    <row r="180" spans="27:27" ht="15" customHeight="1">
      <c r="AA180" s="126"/>
    </row>
    <row r="181" spans="27:27" ht="15" customHeight="1">
      <c r="AA181" s="126"/>
    </row>
    <row r="182" spans="27:27" ht="15" customHeight="1">
      <c r="AA182" s="126"/>
    </row>
    <row r="183" spans="27:27" ht="15" customHeight="1">
      <c r="AA183" s="126"/>
    </row>
    <row r="184" spans="27:27" ht="15" customHeight="1">
      <c r="AA184" s="126"/>
    </row>
    <row r="185" spans="27:27" ht="15" customHeight="1">
      <c r="AA185" s="126"/>
    </row>
    <row r="186" spans="27:27" ht="15" customHeight="1">
      <c r="AA186" s="126"/>
    </row>
    <row r="187" spans="27:27" ht="15" customHeight="1">
      <c r="AA187" s="126"/>
    </row>
    <row r="188" spans="27:27" ht="15" customHeight="1">
      <c r="AA188" s="126"/>
    </row>
    <row r="189" spans="27:27" ht="15" customHeight="1">
      <c r="AA189" s="126"/>
    </row>
    <row r="190" spans="27:27" ht="15" customHeight="1">
      <c r="AA190" s="126"/>
    </row>
    <row r="191" spans="27:27" ht="15" customHeight="1">
      <c r="AA191" s="126"/>
    </row>
    <row r="192" spans="27:27" ht="15" customHeight="1">
      <c r="AA192" s="126"/>
    </row>
    <row r="193" spans="27:27" ht="15" customHeight="1">
      <c r="AA193" s="126"/>
    </row>
    <row r="194" spans="27:27" ht="15" customHeight="1">
      <c r="AA194" s="126"/>
    </row>
    <row r="195" spans="27:27" ht="15" customHeight="1">
      <c r="AA195" s="126"/>
    </row>
    <row r="196" spans="27:27" ht="15" customHeight="1">
      <c r="AA196" s="126"/>
    </row>
    <row r="197" spans="27:27" ht="15" customHeight="1">
      <c r="AA197" s="126"/>
    </row>
    <row r="198" spans="27:27" ht="15" customHeight="1">
      <c r="AA198" s="126"/>
    </row>
    <row r="199" spans="27:27" ht="15" customHeight="1">
      <c r="AA199" s="126"/>
    </row>
    <row r="200" spans="27:27" ht="15" customHeight="1">
      <c r="AA200" s="126"/>
    </row>
    <row r="201" spans="27:27" ht="15" customHeight="1">
      <c r="AA201" s="126"/>
    </row>
    <row r="202" spans="27:27" ht="15" customHeight="1">
      <c r="AA202" s="126"/>
    </row>
    <row r="203" spans="27:27" ht="15" customHeight="1">
      <c r="AA203" s="126"/>
    </row>
    <row r="204" spans="27:27" ht="15" customHeight="1">
      <c r="AA204" s="126"/>
    </row>
    <row r="205" spans="27:27" ht="15" customHeight="1">
      <c r="AA205" s="126"/>
    </row>
    <row r="206" spans="27:27" ht="15" customHeight="1">
      <c r="AA206" s="126"/>
    </row>
    <row r="207" spans="27:27" ht="15" customHeight="1">
      <c r="AA207" s="126"/>
    </row>
    <row r="208" spans="27:27" ht="15" customHeight="1">
      <c r="AA208" s="126"/>
    </row>
    <row r="209" spans="27:27" ht="15" customHeight="1">
      <c r="AA209" s="126"/>
    </row>
    <row r="210" spans="27:27" ht="15" customHeight="1">
      <c r="AA210" s="126"/>
    </row>
    <row r="211" spans="27:27" ht="15" customHeight="1">
      <c r="AA211" s="126"/>
    </row>
    <row r="212" spans="27:27" ht="15" customHeight="1">
      <c r="AA212" s="126"/>
    </row>
    <row r="213" spans="27:27" ht="15" customHeight="1">
      <c r="AA213" s="126"/>
    </row>
    <row r="214" spans="27:27" ht="15" customHeight="1">
      <c r="AA214" s="126"/>
    </row>
    <row r="215" spans="27:27" ht="15" customHeight="1">
      <c r="AA215" s="126"/>
    </row>
    <row r="216" spans="27:27" ht="15" customHeight="1">
      <c r="AA216" s="126"/>
    </row>
    <row r="217" spans="27:27" ht="15" customHeight="1">
      <c r="AA217" s="126"/>
    </row>
    <row r="218" spans="27:27" ht="15" customHeight="1">
      <c r="AA218" s="126"/>
    </row>
    <row r="219" spans="27:27" ht="15" customHeight="1">
      <c r="AA219" s="126"/>
    </row>
    <row r="220" spans="27:27" ht="15" customHeight="1">
      <c r="AA220" s="126"/>
    </row>
    <row r="221" spans="27:27" ht="15" customHeight="1">
      <c r="AA221" s="126"/>
    </row>
    <row r="222" spans="27:27" ht="15" customHeight="1">
      <c r="AA222" s="126"/>
    </row>
    <row r="223" spans="27:27" ht="15" customHeight="1">
      <c r="AA223" s="126"/>
    </row>
    <row r="224" spans="27:27" ht="15" customHeight="1">
      <c r="AA224" s="126"/>
    </row>
    <row r="225" spans="27:27" ht="15" customHeight="1">
      <c r="AA225" s="126"/>
    </row>
    <row r="226" spans="27:27" ht="15" customHeight="1">
      <c r="AA226" s="126"/>
    </row>
    <row r="227" spans="27:27" ht="15" customHeight="1">
      <c r="AA227" s="126"/>
    </row>
    <row r="228" spans="27:27" ht="15" customHeight="1">
      <c r="AA228" s="126"/>
    </row>
    <row r="229" spans="27:27" ht="15" customHeight="1">
      <c r="AA229" s="126"/>
    </row>
    <row r="230" spans="27:27" ht="15" customHeight="1">
      <c r="AA230" s="126"/>
    </row>
    <row r="231" spans="27:27" ht="15" customHeight="1">
      <c r="AA231" s="126"/>
    </row>
    <row r="232" spans="27:27" ht="15" customHeight="1">
      <c r="AA232" s="126"/>
    </row>
    <row r="233" spans="27:27" ht="15" customHeight="1">
      <c r="AA233" s="126"/>
    </row>
    <row r="234" spans="27:27" ht="15" customHeight="1">
      <c r="AA234" s="126"/>
    </row>
    <row r="235" spans="27:27" ht="15" customHeight="1">
      <c r="AA235" s="126"/>
    </row>
    <row r="236" spans="27:27" ht="15" customHeight="1">
      <c r="AA236" s="126"/>
    </row>
    <row r="237" spans="27:27" ht="15" customHeight="1">
      <c r="AA237" s="126"/>
    </row>
    <row r="238" spans="27:27" ht="15" customHeight="1">
      <c r="AA238" s="126"/>
    </row>
    <row r="239" spans="27:27" ht="15" customHeight="1">
      <c r="AA239" s="126"/>
    </row>
    <row r="240" spans="27:27" ht="15" customHeight="1">
      <c r="AA240" s="126"/>
    </row>
    <row r="241" spans="27:27" ht="15" customHeight="1">
      <c r="AA241" s="126"/>
    </row>
    <row r="242" spans="27:27" ht="15" customHeight="1">
      <c r="AA242" s="126"/>
    </row>
    <row r="243" spans="27:27" ht="15" customHeight="1">
      <c r="AA243" s="126"/>
    </row>
    <row r="244" spans="27:27" ht="15" customHeight="1">
      <c r="AA244" s="126"/>
    </row>
    <row r="245" spans="27:27" ht="15" customHeight="1">
      <c r="AA245" s="126"/>
    </row>
    <row r="246" spans="27:27" ht="15" customHeight="1">
      <c r="AA246" s="126"/>
    </row>
    <row r="247" spans="27:27" ht="15" customHeight="1">
      <c r="AA247" s="126"/>
    </row>
    <row r="248" spans="27:27" ht="15" customHeight="1">
      <c r="AA248" s="126"/>
    </row>
    <row r="249" spans="27:27" ht="15" customHeight="1">
      <c r="AA249" s="126"/>
    </row>
    <row r="250" spans="27:27" ht="15" customHeight="1">
      <c r="AA250" s="126"/>
    </row>
    <row r="251" spans="27:27" ht="15" customHeight="1">
      <c r="AA251" s="126"/>
    </row>
    <row r="252" spans="27:27" ht="15" customHeight="1">
      <c r="AA252" s="126"/>
    </row>
    <row r="253" spans="27:27" ht="15" customHeight="1">
      <c r="AA253" s="126"/>
    </row>
    <row r="254" spans="27:27" ht="15" customHeight="1">
      <c r="AA254" s="126"/>
    </row>
    <row r="255" spans="27:27" ht="15" customHeight="1">
      <c r="AA255" s="126"/>
    </row>
    <row r="256" spans="27:27" ht="15" customHeight="1">
      <c r="AA256" s="126"/>
    </row>
    <row r="257" spans="27:27" ht="15" customHeight="1">
      <c r="AA257" s="126"/>
    </row>
    <row r="258" spans="27:27" ht="15" customHeight="1">
      <c r="AA258" s="126"/>
    </row>
    <row r="259" spans="27:27" ht="15" customHeight="1">
      <c r="AA259" s="126"/>
    </row>
    <row r="260" spans="27:27" ht="15" customHeight="1">
      <c r="AA260" s="126"/>
    </row>
    <row r="261" spans="27:27" ht="15" customHeight="1">
      <c r="AA261" s="126"/>
    </row>
    <row r="262" spans="27:27" ht="15" customHeight="1">
      <c r="AA262" s="126"/>
    </row>
    <row r="263" spans="27:27" ht="15" customHeight="1">
      <c r="AA263" s="126"/>
    </row>
    <row r="264" spans="27:27" ht="15" customHeight="1">
      <c r="AA264" s="126"/>
    </row>
    <row r="265" spans="27:27" ht="15" customHeight="1">
      <c r="AA265" s="126"/>
    </row>
    <row r="266" spans="27:27" ht="15" customHeight="1">
      <c r="AA266" s="126"/>
    </row>
    <row r="267" spans="27:27" ht="15" customHeight="1">
      <c r="AA267" s="126"/>
    </row>
    <row r="268" spans="27:27" ht="15" customHeight="1">
      <c r="AA268" s="126"/>
    </row>
    <row r="269" spans="27:27" ht="15" customHeight="1">
      <c r="AA269" s="126"/>
    </row>
    <row r="270" spans="27:27" ht="15" customHeight="1">
      <c r="AA270" s="126"/>
    </row>
    <row r="271" spans="27:27" ht="15" customHeight="1">
      <c r="AA271" s="126"/>
    </row>
    <row r="272" spans="27:27" ht="15" customHeight="1">
      <c r="AA272" s="126"/>
    </row>
    <row r="273" spans="27:27" ht="15" customHeight="1">
      <c r="AA273" s="126"/>
    </row>
    <row r="274" spans="27:27" ht="15" customHeight="1">
      <c r="AA274" s="126"/>
    </row>
    <row r="275" spans="27:27" ht="15" customHeight="1">
      <c r="AA275" s="126"/>
    </row>
    <row r="276" spans="27:27" ht="15" customHeight="1">
      <c r="AA276" s="126"/>
    </row>
    <row r="277" spans="27:27" ht="15" customHeight="1">
      <c r="AA277" s="126"/>
    </row>
    <row r="278" spans="27:27" ht="15" customHeight="1">
      <c r="AA278" s="126"/>
    </row>
    <row r="279" spans="27:27" ht="15" customHeight="1">
      <c r="AA279" s="126"/>
    </row>
    <row r="280" spans="27:27" ht="15" customHeight="1">
      <c r="AA280" s="126"/>
    </row>
    <row r="281" spans="27:27" ht="15" customHeight="1">
      <c r="AA281" s="126"/>
    </row>
    <row r="282" spans="27:27" ht="15" customHeight="1">
      <c r="AA282" s="126"/>
    </row>
    <row r="283" spans="27:27" ht="15" customHeight="1">
      <c r="AA283" s="126"/>
    </row>
    <row r="284" spans="27:27" ht="15" customHeight="1">
      <c r="AA284" s="126"/>
    </row>
    <row r="285" spans="27:27" ht="15" customHeight="1">
      <c r="AA285" s="126"/>
    </row>
    <row r="286" spans="27:27" ht="15" customHeight="1">
      <c r="AA286" s="126"/>
    </row>
    <row r="287" spans="27:27" ht="15" customHeight="1">
      <c r="AA287" s="126"/>
    </row>
    <row r="288" spans="27:27" ht="15" customHeight="1">
      <c r="AA288" s="126"/>
    </row>
    <row r="289" spans="27:27" ht="15" customHeight="1">
      <c r="AA289" s="126"/>
    </row>
    <row r="290" spans="27:27" ht="15" customHeight="1">
      <c r="AA290" s="126"/>
    </row>
    <row r="291" spans="27:27" ht="15" customHeight="1">
      <c r="AA291" s="126"/>
    </row>
    <row r="292" spans="27:27" ht="15" customHeight="1">
      <c r="AA292" s="126"/>
    </row>
    <row r="293" spans="27:27" ht="15" customHeight="1">
      <c r="AA293" s="126"/>
    </row>
    <row r="294" spans="27:27" ht="15" customHeight="1">
      <c r="AA294" s="126"/>
    </row>
    <row r="295" spans="27:27" ht="15" customHeight="1">
      <c r="AA295" s="126"/>
    </row>
    <row r="296" spans="27:27" ht="15" customHeight="1">
      <c r="AA296" s="126"/>
    </row>
    <row r="297" spans="27:27" ht="15" customHeight="1">
      <c r="AA297" s="126"/>
    </row>
    <row r="298" spans="27:27" ht="15" customHeight="1">
      <c r="AA298" s="126"/>
    </row>
    <row r="299" spans="27:27" ht="15" customHeight="1">
      <c r="AA299" s="126"/>
    </row>
    <row r="300" spans="27:27" ht="15" customHeight="1">
      <c r="AA300" s="126"/>
    </row>
    <row r="301" spans="27:27" ht="15" customHeight="1">
      <c r="AA301" s="126"/>
    </row>
    <row r="302" spans="27:27" ht="15" customHeight="1">
      <c r="AA302" s="126"/>
    </row>
    <row r="303" spans="27:27" ht="15" customHeight="1">
      <c r="AA303" s="126"/>
    </row>
    <row r="304" spans="27:27" ht="15" customHeight="1">
      <c r="AA304" s="126"/>
    </row>
    <row r="305" spans="27:27" ht="15" customHeight="1">
      <c r="AA305" s="126"/>
    </row>
    <row r="306" spans="27:27" ht="15" customHeight="1">
      <c r="AA306" s="126"/>
    </row>
    <row r="307" spans="27:27" ht="15" customHeight="1">
      <c r="AA307" s="126"/>
    </row>
    <row r="308" spans="27:27" ht="15" customHeight="1">
      <c r="AA308" s="126"/>
    </row>
    <row r="309" spans="27:27" ht="15" customHeight="1">
      <c r="AA309" s="126"/>
    </row>
    <row r="310" spans="27:27" ht="15" customHeight="1">
      <c r="AA310" s="126"/>
    </row>
    <row r="311" spans="27:27" ht="15" customHeight="1">
      <c r="AA311" s="126"/>
    </row>
    <row r="312" spans="27:27" ht="15" customHeight="1">
      <c r="AA312" s="126"/>
    </row>
    <row r="313" spans="27:27" ht="15" customHeight="1">
      <c r="AA313" s="126"/>
    </row>
    <row r="314" spans="27:27" ht="15" customHeight="1">
      <c r="AA314" s="126"/>
    </row>
    <row r="315" spans="27:27" ht="15" customHeight="1">
      <c r="AA315" s="126"/>
    </row>
    <row r="316" spans="27:27" ht="15" customHeight="1">
      <c r="AA316" s="126"/>
    </row>
    <row r="317" spans="27:27" ht="15" customHeight="1">
      <c r="AA317" s="126"/>
    </row>
    <row r="318" spans="27:27" ht="15" customHeight="1">
      <c r="AA318" s="126"/>
    </row>
    <row r="319" spans="27:27" ht="15" customHeight="1">
      <c r="AA319" s="126"/>
    </row>
    <row r="320" spans="27:27" ht="15" customHeight="1">
      <c r="AA320" s="126"/>
    </row>
    <row r="321" spans="27:27" ht="15" customHeight="1">
      <c r="AA321" s="126"/>
    </row>
    <row r="322" spans="27:27" ht="15" customHeight="1">
      <c r="AA322" s="126"/>
    </row>
    <row r="323" spans="27:27" ht="15" customHeight="1">
      <c r="AA323" s="126"/>
    </row>
    <row r="324" spans="27:27" ht="15" customHeight="1">
      <c r="AA324" s="126"/>
    </row>
    <row r="325" spans="27:27" ht="15" customHeight="1">
      <c r="AA325" s="126"/>
    </row>
    <row r="326" spans="27:27" ht="15" customHeight="1">
      <c r="AA326" s="126"/>
    </row>
    <row r="327" spans="27:27" ht="15" customHeight="1">
      <c r="AA327" s="126"/>
    </row>
    <row r="328" spans="27:27" ht="15" customHeight="1">
      <c r="AA328" s="126"/>
    </row>
    <row r="329" spans="27:27" ht="15" customHeight="1">
      <c r="AA329" s="126"/>
    </row>
    <row r="330" spans="27:27" ht="15" customHeight="1">
      <c r="AA330" s="126"/>
    </row>
    <row r="331" spans="27:27" ht="15" customHeight="1">
      <c r="AA331" s="126"/>
    </row>
    <row r="332" spans="27:27" ht="15" customHeight="1">
      <c r="AA332" s="126"/>
    </row>
    <row r="333" spans="27:27" ht="15" customHeight="1">
      <c r="AA333" s="126"/>
    </row>
    <row r="334" spans="27:27" ht="15" customHeight="1">
      <c r="AA334" s="126"/>
    </row>
    <row r="335" spans="27:27" ht="15" customHeight="1">
      <c r="AA335" s="126"/>
    </row>
    <row r="336" spans="27:27" ht="15" customHeight="1">
      <c r="AA336" s="126"/>
    </row>
    <row r="337" spans="27:27" ht="15" customHeight="1">
      <c r="AA337" s="126"/>
    </row>
    <row r="338" spans="27:27" ht="15" customHeight="1">
      <c r="AA338" s="126"/>
    </row>
    <row r="339" spans="27:27" ht="15" customHeight="1">
      <c r="AA339" s="126"/>
    </row>
    <row r="340" spans="27:27" ht="15" customHeight="1">
      <c r="AA340" s="126"/>
    </row>
    <row r="341" spans="27:27" ht="15" customHeight="1">
      <c r="AA341" s="126"/>
    </row>
    <row r="342" spans="27:27" ht="15" customHeight="1">
      <c r="AA342" s="126"/>
    </row>
    <row r="343" spans="27:27" ht="15" customHeight="1">
      <c r="AA343" s="126"/>
    </row>
    <row r="344" spans="27:27" ht="15" customHeight="1">
      <c r="AA344" s="126"/>
    </row>
    <row r="345" spans="27:27" ht="15" customHeight="1">
      <c r="AA345" s="126"/>
    </row>
    <row r="346" spans="27:27" ht="15" customHeight="1">
      <c r="AA346" s="126"/>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000-000000000000}"/>
    <hyperlink ref="A86" location="BSA55P4ActivityTripFactors" display="          Activity Trip Level Factor" xr:uid="{00000000-0004-0000-1000-000001000000}"/>
    <hyperlink ref="A63" location="DataEntryOtherInfol2" display="Adjustment for Remote Instructional Time calculated by ADE" xr:uid="{00000000-0004-0000-1000-000002000000}"/>
    <hyperlink ref="A64" location="DataEntryOtherInfol4" display="CTED 9th Grade Funding Adjustment" xr:uid="{00000000-0004-0000-1000-000003000000}"/>
    <hyperlink ref="A65" location="DataEntryOtherInfol5" display="CTED Continuation 13th Grade Funding Adjustment" xr:uid="{00000000-0004-0000-1000-000004000000}"/>
    <hyperlink ref="A3" location="BSA55General" display="Instructions" xr:uid="{00000000-0004-0000-1000-000005000000}"/>
  </hyperlinks>
  <printOptions horizontalCentered="1"/>
  <pageMargins left="0.25" right="0.25" top="0.25" bottom="0.25" header="0" footer="0.15"/>
  <pageSetup paperSize="5" scale="85" fitToWidth="5" fitToHeight="5" orientation="landscape" r:id="rId1"/>
  <headerFooter alignWithMargins="0">
    <oddFooter>&amp;L&amp;"Times New Roman,Bold"&amp;9Rev. 5/26&amp;K000000 Arizona Department of Education and Auditor General&amp;C&amp;"Times New Roman,Regular"&amp;9&amp;D  &amp;T</oddFooter>
  </headerFooter>
  <rowBreaks count="4" manualBreakCount="4">
    <brk id="39" max="12" man="1"/>
    <brk id="73" max="12" man="1"/>
    <brk id="108" max="12" man="1"/>
    <brk id="139"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N178"/>
  <sheetViews>
    <sheetView showGridLines="0" workbookViewId="0"/>
  </sheetViews>
  <sheetFormatPr defaultColWidth="8.81640625" defaultRowHeight="18.75" customHeight="1"/>
  <cols>
    <col min="1" max="1" width="15.81640625" style="1060" customWidth="1"/>
    <col min="2" max="2" width="15" style="1051" customWidth="1"/>
    <col min="3" max="3" width="79" style="1060" customWidth="1"/>
    <col min="4" max="4" width="25.81640625" style="1061" customWidth="1"/>
    <col min="5" max="5" width="32.81640625" style="1037" customWidth="1"/>
    <col min="6" max="6" width="40.81640625" style="1037" customWidth="1"/>
    <col min="7" max="11" width="8.81640625" style="1037" customWidth="1"/>
    <col min="12" max="12" width="10" style="1037" customWidth="1"/>
    <col min="13" max="15" width="8.81640625" style="1037" customWidth="1"/>
    <col min="16" max="16384" width="8.81640625" style="1037"/>
  </cols>
  <sheetData>
    <row r="1" spans="1:11" ht="40.5" customHeight="1">
      <c r="A1" s="1035" t="s">
        <v>690</v>
      </c>
      <c r="B1" s="1035" t="s">
        <v>691</v>
      </c>
      <c r="C1" s="1035" t="s">
        <v>692</v>
      </c>
      <c r="D1" s="1035" t="s">
        <v>1180</v>
      </c>
      <c r="E1" s="1036" t="s">
        <v>1181</v>
      </c>
    </row>
    <row r="2" spans="1:11" ht="259.5" customHeight="1">
      <c r="A2" s="1321"/>
      <c r="B2" s="1323" t="s">
        <v>397</v>
      </c>
      <c r="C2" s="1038" t="s">
        <v>945</v>
      </c>
      <c r="D2" s="1325"/>
      <c r="E2" s="1039"/>
    </row>
    <row r="3" spans="1:11" ht="24" customHeight="1">
      <c r="A3" s="1322"/>
      <c r="B3" s="1324"/>
      <c r="C3" s="1040" t="s">
        <v>693</v>
      </c>
      <c r="D3" s="1326"/>
      <c r="E3" s="1322"/>
    </row>
    <row r="4" spans="1:11" ht="138" customHeight="1">
      <c r="A4" s="1041"/>
      <c r="B4" s="1042" t="s">
        <v>397</v>
      </c>
      <c r="C4" s="1038" t="s">
        <v>1182</v>
      </c>
      <c r="D4" s="1043"/>
      <c r="E4" s="1041"/>
      <c r="F4" s="443"/>
      <c r="K4" s="1453"/>
    </row>
    <row r="5" spans="1:11" ht="44.25" customHeight="1">
      <c r="A5" s="1041"/>
      <c r="B5" s="1042" t="s">
        <v>397</v>
      </c>
      <c r="C5" s="1038" t="s">
        <v>694</v>
      </c>
      <c r="D5" s="1043"/>
      <c r="E5" s="1041" t="s">
        <v>695</v>
      </c>
    </row>
    <row r="6" spans="1:11" ht="288">
      <c r="A6" s="1041"/>
      <c r="B6" s="1042" t="s">
        <v>696</v>
      </c>
      <c r="C6" s="1038" t="s">
        <v>697</v>
      </c>
      <c r="D6" s="1358" t="s">
        <v>413</v>
      </c>
      <c r="E6" s="1041"/>
    </row>
    <row r="7" spans="1:11" ht="45.75" customHeight="1">
      <c r="A7" s="1041"/>
      <c r="B7" s="1042" t="s">
        <v>698</v>
      </c>
      <c r="C7" s="1038" t="s">
        <v>1183</v>
      </c>
      <c r="D7" s="1358" t="s">
        <v>413</v>
      </c>
      <c r="E7" s="1041"/>
    </row>
    <row r="8" spans="1:11" ht="154.5" customHeight="1">
      <c r="A8" s="1489" t="s">
        <v>699</v>
      </c>
      <c r="B8" s="1042" t="s">
        <v>909</v>
      </c>
      <c r="C8" s="1038" t="s">
        <v>939</v>
      </c>
      <c r="D8" s="1043"/>
      <c r="E8" s="1041"/>
    </row>
    <row r="9" spans="1:11" ht="136.5" customHeight="1">
      <c r="A9" s="1489" t="s">
        <v>699</v>
      </c>
      <c r="B9" s="1042" t="s">
        <v>700</v>
      </c>
      <c r="C9" s="1038" t="s">
        <v>1184</v>
      </c>
      <c r="D9" s="1043"/>
      <c r="E9" s="1041"/>
      <c r="K9" s="1453"/>
    </row>
    <row r="10" spans="1:11" ht="228.75" customHeight="1">
      <c r="A10" s="1489" t="s">
        <v>699</v>
      </c>
      <c r="B10" s="1042" t="s">
        <v>701</v>
      </c>
      <c r="C10" s="1038" t="s">
        <v>702</v>
      </c>
      <c r="D10" s="1358" t="s">
        <v>413</v>
      </c>
      <c r="E10" s="1041"/>
    </row>
    <row r="11" spans="1:11" ht="76.5" customHeight="1">
      <c r="A11" s="1900">
        <v>1</v>
      </c>
      <c r="B11" s="1898" t="s">
        <v>703</v>
      </c>
      <c r="C11" s="1203" t="s">
        <v>1185</v>
      </c>
      <c r="D11" s="1906"/>
      <c r="E11" s="1902"/>
    </row>
    <row r="12" spans="1:11" ht="19.5" customHeight="1">
      <c r="A12" s="1901"/>
      <c r="B12" s="1899"/>
      <c r="C12" s="1044" t="s">
        <v>704</v>
      </c>
      <c r="D12" s="1907"/>
      <c r="E12" s="1903"/>
    </row>
    <row r="13" spans="1:11" ht="133.5" customHeight="1">
      <c r="A13" s="1487">
        <v>1</v>
      </c>
      <c r="B13" s="1042" t="s">
        <v>705</v>
      </c>
      <c r="C13" s="1038" t="s">
        <v>706</v>
      </c>
      <c r="D13" s="1358" t="s">
        <v>413</v>
      </c>
      <c r="E13" s="1041"/>
    </row>
    <row r="14" spans="1:11" ht="64.5" customHeight="1">
      <c r="A14" s="1487">
        <v>1</v>
      </c>
      <c r="B14" s="1042" t="s">
        <v>707</v>
      </c>
      <c r="C14" s="1038" t="s">
        <v>1186</v>
      </c>
      <c r="D14" s="1043"/>
      <c r="E14" s="1041"/>
    </row>
    <row r="15" spans="1:11" ht="151.5" customHeight="1">
      <c r="A15" s="1487">
        <v>1</v>
      </c>
      <c r="B15" s="1042" t="s">
        <v>708</v>
      </c>
      <c r="C15" s="1038" t="s">
        <v>709</v>
      </c>
      <c r="D15" s="1043"/>
      <c r="E15" s="1041"/>
    </row>
    <row r="16" spans="1:11" ht="135" customHeight="1">
      <c r="A16" s="1900">
        <v>1</v>
      </c>
      <c r="B16" s="1898" t="s">
        <v>710</v>
      </c>
      <c r="C16" s="1045" t="s">
        <v>711</v>
      </c>
      <c r="D16" s="1906"/>
      <c r="E16" s="1904"/>
    </row>
    <row r="17" spans="1:13" ht="21" customHeight="1">
      <c r="A17" s="1901"/>
      <c r="B17" s="1899"/>
      <c r="C17" s="1044" t="s">
        <v>712</v>
      </c>
      <c r="D17" s="1907"/>
      <c r="E17" s="1905"/>
    </row>
    <row r="18" spans="1:13" ht="79.5" customHeight="1">
      <c r="A18" s="1487">
        <v>1</v>
      </c>
      <c r="B18" s="1898" t="s">
        <v>958</v>
      </c>
      <c r="C18" s="1053" t="s">
        <v>1187</v>
      </c>
      <c r="D18" s="1043"/>
      <c r="E18" s="1041"/>
    </row>
    <row r="19" spans="1:13" ht="97.5" customHeight="1">
      <c r="A19" s="1487" t="s">
        <v>912</v>
      </c>
      <c r="B19" s="1899" t="s">
        <v>964</v>
      </c>
      <c r="C19" s="1053" t="s">
        <v>1188</v>
      </c>
      <c r="D19" s="1043"/>
      <c r="E19" s="1041"/>
    </row>
    <row r="20" spans="1:13" ht="94.5" customHeight="1">
      <c r="A20" s="1487">
        <v>1</v>
      </c>
      <c r="B20" s="1324" t="s">
        <v>933</v>
      </c>
      <c r="C20" s="1053" t="s">
        <v>960</v>
      </c>
      <c r="D20" s="1326"/>
      <c r="E20" s="1456"/>
    </row>
    <row r="21" spans="1:13" ht="150.75" customHeight="1">
      <c r="A21" s="1487">
        <v>2</v>
      </c>
      <c r="B21" s="1042" t="s">
        <v>713</v>
      </c>
      <c r="C21" s="1038" t="s">
        <v>714</v>
      </c>
      <c r="D21" s="1043"/>
      <c r="E21" s="1046"/>
    </row>
    <row r="22" spans="1:13" ht="63" customHeight="1">
      <c r="A22" s="1487">
        <v>2</v>
      </c>
      <c r="B22" s="1042" t="s">
        <v>715</v>
      </c>
      <c r="C22" s="1047" t="s">
        <v>716</v>
      </c>
      <c r="D22" s="1043"/>
      <c r="E22" s="1041"/>
    </row>
    <row r="23" spans="1:13" ht="62.25" customHeight="1">
      <c r="A23" s="1487">
        <v>2</v>
      </c>
      <c r="B23" s="1042" t="s">
        <v>717</v>
      </c>
      <c r="C23" s="1038" t="s">
        <v>718</v>
      </c>
      <c r="D23" s="1043"/>
      <c r="E23" s="1041"/>
    </row>
    <row r="24" spans="1:13" ht="221.25" customHeight="1">
      <c r="A24" s="1487">
        <v>2</v>
      </c>
      <c r="B24" s="1042" t="s">
        <v>719</v>
      </c>
      <c r="C24" s="1038" t="s">
        <v>1189</v>
      </c>
      <c r="D24" s="1358" t="s">
        <v>413</v>
      </c>
      <c r="E24" s="1041"/>
      <c r="F24" s="443"/>
      <c r="K24" s="1453"/>
      <c r="L24" s="1453"/>
    </row>
    <row r="25" spans="1:13" ht="118.5" customHeight="1">
      <c r="A25" s="1487">
        <v>3</v>
      </c>
      <c r="B25" s="1042" t="s">
        <v>397</v>
      </c>
      <c r="C25" s="1038" t="s">
        <v>720</v>
      </c>
      <c r="D25" s="1043"/>
      <c r="E25" s="1046"/>
    </row>
    <row r="26" spans="1:13" ht="45" customHeight="1">
      <c r="A26" s="1487">
        <v>3</v>
      </c>
      <c r="B26" s="1042" t="s">
        <v>703</v>
      </c>
      <c r="C26" s="1048" t="s">
        <v>721</v>
      </c>
      <c r="D26" s="1043"/>
      <c r="E26" s="1046"/>
    </row>
    <row r="27" spans="1:13" ht="82.5" customHeight="1">
      <c r="A27" s="1487">
        <v>3</v>
      </c>
      <c r="B27" s="1324" t="s">
        <v>705</v>
      </c>
      <c r="C27" s="1053" t="s">
        <v>1190</v>
      </c>
      <c r="D27" s="1043"/>
      <c r="E27" s="1046"/>
    </row>
    <row r="28" spans="1:13" ht="80.25" customHeight="1">
      <c r="A28" s="1487">
        <v>3</v>
      </c>
      <c r="B28" s="1324" t="s">
        <v>943</v>
      </c>
      <c r="C28" s="1356" t="s">
        <v>946</v>
      </c>
      <c r="D28" s="1326"/>
      <c r="E28" s="1456"/>
    </row>
    <row r="29" spans="1:13" ht="61.5" customHeight="1">
      <c r="A29" s="1487">
        <v>3</v>
      </c>
      <c r="B29" s="1042" t="s">
        <v>923</v>
      </c>
      <c r="C29" s="1038" t="s">
        <v>922</v>
      </c>
      <c r="D29" s="1358" t="s">
        <v>413</v>
      </c>
      <c r="E29" s="1046"/>
    </row>
    <row r="30" spans="1:13" ht="65.25" customHeight="1">
      <c r="A30" s="1487">
        <v>3</v>
      </c>
      <c r="B30" s="1042" t="s">
        <v>723</v>
      </c>
      <c r="C30" s="1038" t="s">
        <v>916</v>
      </c>
      <c r="D30" s="1358" t="s">
        <v>413</v>
      </c>
      <c r="E30" s="1041"/>
    </row>
    <row r="31" spans="1:13" ht="204" customHeight="1">
      <c r="A31" s="1487">
        <v>3</v>
      </c>
      <c r="B31" s="1042" t="s">
        <v>894</v>
      </c>
      <c r="C31" s="1041" t="s">
        <v>947</v>
      </c>
      <c r="D31" s="1334"/>
      <c r="E31" s="1041"/>
      <c r="M31" s="1453"/>
    </row>
    <row r="32" spans="1:13" ht="19.5" customHeight="1">
      <c r="A32" s="1041"/>
      <c r="B32" s="1042"/>
      <c r="C32" s="1044" t="s">
        <v>722</v>
      </c>
      <c r="D32" s="1043"/>
      <c r="E32" s="1041"/>
    </row>
    <row r="33" spans="1:13" ht="66.45" customHeight="1">
      <c r="A33" s="1487">
        <v>3</v>
      </c>
      <c r="B33" s="1042" t="s">
        <v>924</v>
      </c>
      <c r="C33" s="1038" t="s">
        <v>1191</v>
      </c>
      <c r="D33" s="1043"/>
      <c r="E33" s="1041"/>
    </row>
    <row r="34" spans="1:13" ht="79.5" customHeight="1">
      <c r="A34" s="1506">
        <v>4</v>
      </c>
      <c r="B34" s="1324" t="s">
        <v>934</v>
      </c>
      <c r="C34" s="1053" t="s">
        <v>1382</v>
      </c>
      <c r="D34" s="1043"/>
      <c r="E34" s="1046"/>
    </row>
    <row r="35" spans="1:13" ht="102.75" customHeight="1">
      <c r="A35" s="1506">
        <v>4</v>
      </c>
      <c r="B35" s="1324" t="s">
        <v>935</v>
      </c>
      <c r="C35" s="1053" t="s">
        <v>1192</v>
      </c>
      <c r="D35" s="1326"/>
      <c r="E35" s="1456"/>
    </row>
    <row r="36" spans="1:13" ht="208.5" customHeight="1">
      <c r="A36" s="1506">
        <v>4</v>
      </c>
      <c r="B36" s="1042" t="s">
        <v>725</v>
      </c>
      <c r="C36" s="1038" t="s">
        <v>1193</v>
      </c>
      <c r="D36" s="1358" t="s">
        <v>413</v>
      </c>
      <c r="E36" s="1041"/>
      <c r="K36" s="1453"/>
      <c r="L36" s="1453"/>
      <c r="M36" s="1453"/>
    </row>
    <row r="37" spans="1:13" ht="242.25" customHeight="1">
      <c r="A37" s="1487">
        <v>5</v>
      </c>
      <c r="B37" s="1042" t="s">
        <v>726</v>
      </c>
      <c r="C37" s="1038" t="s">
        <v>727</v>
      </c>
      <c r="D37" s="1043"/>
      <c r="E37" s="1038"/>
    </row>
    <row r="38" spans="1:13" ht="151.5" customHeight="1">
      <c r="A38" s="1487">
        <v>5</v>
      </c>
      <c r="B38" s="1042" t="s">
        <v>728</v>
      </c>
      <c r="C38" s="1038" t="s">
        <v>729</v>
      </c>
      <c r="D38" s="1043"/>
      <c r="E38" s="1041"/>
    </row>
    <row r="39" spans="1:13" ht="98.25" customHeight="1">
      <c r="A39" s="1487">
        <v>6</v>
      </c>
      <c r="B39" s="1042" t="s">
        <v>730</v>
      </c>
      <c r="C39" s="1038" t="s">
        <v>731</v>
      </c>
      <c r="D39" s="1043"/>
      <c r="E39" s="1041"/>
    </row>
    <row r="40" spans="1:13" ht="59.25" customHeight="1">
      <c r="A40" s="1487">
        <v>6</v>
      </c>
      <c r="B40" s="1042" t="s">
        <v>732</v>
      </c>
      <c r="C40" s="1038" t="s">
        <v>914</v>
      </c>
      <c r="D40" s="1043"/>
      <c r="E40" s="1041"/>
      <c r="G40" s="1454"/>
    </row>
    <row r="41" spans="1:13" ht="206.25" customHeight="1">
      <c r="A41" s="1487">
        <v>6</v>
      </c>
      <c r="B41" s="1042" t="s">
        <v>948</v>
      </c>
      <c r="C41" s="1038" t="s">
        <v>733</v>
      </c>
      <c r="D41" s="1043"/>
      <c r="E41" s="1041"/>
    </row>
    <row r="42" spans="1:13" ht="63" customHeight="1">
      <c r="A42" s="1487">
        <v>6</v>
      </c>
      <c r="B42" s="1042" t="s">
        <v>930</v>
      </c>
      <c r="C42" s="1038" t="s">
        <v>949</v>
      </c>
      <c r="D42" s="1043"/>
      <c r="E42" s="1256"/>
    </row>
    <row r="43" spans="1:13" ht="43.5" customHeight="1">
      <c r="A43" s="1487">
        <v>6</v>
      </c>
      <c r="B43" s="1042" t="s">
        <v>734</v>
      </c>
      <c r="C43" s="1038" t="s">
        <v>735</v>
      </c>
      <c r="D43" s="1043"/>
      <c r="E43" s="1041"/>
    </row>
    <row r="44" spans="1:13" ht="115.5" customHeight="1">
      <c r="A44" s="1487">
        <v>6</v>
      </c>
      <c r="B44" s="1042" t="s">
        <v>736</v>
      </c>
      <c r="C44" s="1038" t="s">
        <v>737</v>
      </c>
      <c r="D44" s="1043"/>
      <c r="E44" s="1041"/>
    </row>
    <row r="45" spans="1:13" ht="301.5" customHeight="1">
      <c r="A45" s="1487">
        <v>6</v>
      </c>
      <c r="B45" s="1042" t="s">
        <v>738</v>
      </c>
      <c r="C45" s="1038" t="s">
        <v>739</v>
      </c>
      <c r="D45" s="1043"/>
      <c r="E45" s="1041"/>
    </row>
    <row r="46" spans="1:13" ht="97.5" customHeight="1">
      <c r="A46" s="1487">
        <v>6</v>
      </c>
      <c r="B46" s="1042" t="s">
        <v>740</v>
      </c>
      <c r="C46" s="1038" t="s">
        <v>741</v>
      </c>
      <c r="D46" s="1043"/>
      <c r="E46" s="1041"/>
    </row>
    <row r="47" spans="1:13" ht="61.5" customHeight="1">
      <c r="A47" s="1487">
        <v>6</v>
      </c>
      <c r="B47" s="1042" t="s">
        <v>742</v>
      </c>
      <c r="C47" s="1038" t="s">
        <v>743</v>
      </c>
      <c r="D47" s="1043"/>
      <c r="E47" s="1041"/>
    </row>
    <row r="48" spans="1:13" ht="69.45" customHeight="1">
      <c r="A48" s="1487">
        <v>6</v>
      </c>
      <c r="B48" s="1259" t="s">
        <v>744</v>
      </c>
      <c r="C48" s="1038" t="s">
        <v>1383</v>
      </c>
      <c r="D48" s="1043"/>
      <c r="E48" s="1041"/>
    </row>
    <row r="49" spans="1:13" ht="63" customHeight="1">
      <c r="A49" s="1487">
        <v>6</v>
      </c>
      <c r="B49" s="1042" t="s">
        <v>745</v>
      </c>
      <c r="C49" s="1038" t="s">
        <v>746</v>
      </c>
      <c r="D49" s="1043"/>
      <c r="E49" s="1041"/>
    </row>
    <row r="50" spans="1:13" ht="234">
      <c r="A50" s="1487">
        <v>7</v>
      </c>
      <c r="B50" s="1042" t="s">
        <v>397</v>
      </c>
      <c r="C50" s="1038" t="s">
        <v>747</v>
      </c>
      <c r="D50" s="1358" t="s">
        <v>413</v>
      </c>
      <c r="E50" s="1488"/>
    </row>
    <row r="51" spans="1:13" ht="117" customHeight="1">
      <c r="A51" s="1487">
        <v>7</v>
      </c>
      <c r="B51" s="1042" t="s">
        <v>748</v>
      </c>
      <c r="C51" s="1038" t="s">
        <v>917</v>
      </c>
      <c r="D51" s="1358" t="s">
        <v>413</v>
      </c>
      <c r="E51" s="1041"/>
    </row>
    <row r="52" spans="1:13" ht="101.25" customHeight="1">
      <c r="A52" s="1487">
        <v>7</v>
      </c>
      <c r="B52" s="1042" t="s">
        <v>749</v>
      </c>
      <c r="C52" s="1038" t="s">
        <v>1194</v>
      </c>
      <c r="D52" s="1358" t="s">
        <v>413</v>
      </c>
      <c r="E52" s="1041"/>
    </row>
    <row r="53" spans="1:13" ht="43.5" customHeight="1">
      <c r="A53" s="1487">
        <v>7</v>
      </c>
      <c r="B53" s="1042" t="s">
        <v>750</v>
      </c>
      <c r="C53" s="1038" t="s">
        <v>751</v>
      </c>
      <c r="D53" s="1043"/>
      <c r="E53" s="1046"/>
      <c r="F53" s="1455"/>
    </row>
    <row r="54" spans="1:13" ht="171" customHeight="1">
      <c r="A54" s="1487">
        <v>7</v>
      </c>
      <c r="B54" s="1042" t="s">
        <v>752</v>
      </c>
      <c r="C54" s="1204" t="s">
        <v>1195</v>
      </c>
      <c r="D54" s="1043"/>
      <c r="E54" s="1041"/>
      <c r="K54" s="1453"/>
      <c r="L54" s="1453"/>
    </row>
    <row r="55" spans="1:13" ht="36">
      <c r="A55" s="1041"/>
      <c r="B55" s="1042"/>
      <c r="C55" s="1049" t="s">
        <v>753</v>
      </c>
      <c r="D55" s="1043"/>
      <c r="E55" s="1041"/>
    </row>
    <row r="56" spans="1:13" ht="169.5" customHeight="1">
      <c r="A56" s="1487">
        <v>7</v>
      </c>
      <c r="B56" s="1042" t="s">
        <v>754</v>
      </c>
      <c r="C56" s="1038" t="s">
        <v>1196</v>
      </c>
      <c r="D56" s="1043"/>
      <c r="E56" s="1041"/>
      <c r="K56" s="1453"/>
      <c r="L56" s="1453"/>
    </row>
    <row r="57" spans="1:13" ht="79.5" customHeight="1">
      <c r="A57" s="1487">
        <v>7</v>
      </c>
      <c r="B57" s="1042" t="s">
        <v>755</v>
      </c>
      <c r="C57" s="1038" t="s">
        <v>756</v>
      </c>
      <c r="D57" s="1043"/>
      <c r="E57" s="1041"/>
    </row>
    <row r="58" spans="1:13" ht="210" customHeight="1">
      <c r="A58" s="1487">
        <v>7</v>
      </c>
      <c r="B58" s="1042" t="s">
        <v>757</v>
      </c>
      <c r="C58" s="1038" t="s">
        <v>1197</v>
      </c>
      <c r="D58" s="1043"/>
      <c r="E58" s="1041"/>
      <c r="K58" s="1453"/>
      <c r="L58" s="1453"/>
      <c r="M58" s="1453"/>
    </row>
    <row r="59" spans="1:13" ht="208.5" customHeight="1">
      <c r="A59" s="1487">
        <v>7</v>
      </c>
      <c r="B59" s="1042" t="s">
        <v>758</v>
      </c>
      <c r="C59" s="1038" t="s">
        <v>950</v>
      </c>
      <c r="D59" s="1043"/>
      <c r="E59" s="1041"/>
      <c r="K59" s="1453"/>
      <c r="L59" s="1453"/>
      <c r="M59" s="1453"/>
    </row>
    <row r="60" spans="1:13" ht="151.5" customHeight="1">
      <c r="A60" s="1487">
        <v>7</v>
      </c>
      <c r="B60" s="1042" t="s">
        <v>759</v>
      </c>
      <c r="C60" s="1038" t="s">
        <v>760</v>
      </c>
      <c r="D60" s="1358" t="s">
        <v>413</v>
      </c>
      <c r="E60" s="1041"/>
    </row>
    <row r="61" spans="1:13" ht="264" customHeight="1">
      <c r="A61" s="1487">
        <v>7</v>
      </c>
      <c r="B61" s="1042" t="s">
        <v>703</v>
      </c>
      <c r="C61" s="1038" t="s">
        <v>1198</v>
      </c>
      <c r="D61" s="1358" t="s">
        <v>413</v>
      </c>
      <c r="E61" s="1041"/>
      <c r="K61" s="1453"/>
      <c r="L61" s="1453"/>
      <c r="M61" s="1453"/>
    </row>
    <row r="62" spans="1:13" ht="28.5" customHeight="1">
      <c r="A62" s="1042"/>
      <c r="B62" s="1042"/>
      <c r="C62" s="1040" t="s">
        <v>761</v>
      </c>
      <c r="D62" s="1331"/>
      <c r="E62" s="1041"/>
    </row>
    <row r="63" spans="1:13" ht="154.5" customHeight="1">
      <c r="A63" s="1487">
        <v>7</v>
      </c>
      <c r="B63" s="1042" t="s">
        <v>762</v>
      </c>
      <c r="C63" s="1038" t="s">
        <v>763</v>
      </c>
      <c r="D63" s="1358" t="s">
        <v>413</v>
      </c>
      <c r="E63" s="1041"/>
    </row>
    <row r="64" spans="1:13" ht="39" customHeight="1">
      <c r="A64" s="1487">
        <v>7</v>
      </c>
      <c r="B64" s="1042" t="s">
        <v>764</v>
      </c>
      <c r="C64" s="1038" t="s">
        <v>765</v>
      </c>
      <c r="D64" s="1043"/>
      <c r="E64" s="1041"/>
    </row>
    <row r="65" spans="1:14" ht="27.75" customHeight="1">
      <c r="A65" s="1042"/>
      <c r="B65" s="1042"/>
      <c r="C65" s="1050" t="s">
        <v>766</v>
      </c>
      <c r="D65" s="1043"/>
      <c r="E65" s="1041"/>
    </row>
    <row r="66" spans="1:14" ht="189.75" customHeight="1">
      <c r="A66" s="1487">
        <v>7</v>
      </c>
      <c r="B66" s="1042" t="s">
        <v>767</v>
      </c>
      <c r="C66" s="1038" t="s">
        <v>1199</v>
      </c>
      <c r="D66" s="1358" t="s">
        <v>413</v>
      </c>
      <c r="E66" s="1041"/>
      <c r="K66" s="1453"/>
      <c r="L66" s="1453"/>
    </row>
    <row r="67" spans="1:14" ht="30" customHeight="1">
      <c r="A67" s="1042"/>
      <c r="B67" s="1042"/>
      <c r="C67" s="1050" t="s">
        <v>766</v>
      </c>
      <c r="D67" s="1043"/>
      <c r="E67" s="1041"/>
    </row>
    <row r="68" spans="1:14" ht="387.75" customHeight="1">
      <c r="A68" s="1487">
        <v>7</v>
      </c>
      <c r="B68" s="1042" t="s">
        <v>768</v>
      </c>
      <c r="C68" s="1038" t="s">
        <v>1384</v>
      </c>
      <c r="D68" s="1358" t="s">
        <v>413</v>
      </c>
      <c r="E68" s="1041"/>
      <c r="K68" s="1453"/>
      <c r="L68" s="1453"/>
      <c r="M68" s="1453"/>
      <c r="N68" s="1453"/>
    </row>
    <row r="69" spans="1:14" ht="79.5" customHeight="1">
      <c r="A69" s="1487">
        <v>7</v>
      </c>
      <c r="B69" s="1042" t="s">
        <v>769</v>
      </c>
      <c r="C69" s="1038" t="s">
        <v>770</v>
      </c>
      <c r="D69" s="1043"/>
      <c r="E69" s="1041"/>
    </row>
    <row r="70" spans="1:14" ht="315.75" customHeight="1">
      <c r="A70" s="1487">
        <v>7</v>
      </c>
      <c r="B70" s="1042" t="s">
        <v>771</v>
      </c>
      <c r="C70" s="1038" t="s">
        <v>951</v>
      </c>
      <c r="D70" s="1358" t="s">
        <v>413</v>
      </c>
      <c r="E70" s="1041"/>
      <c r="K70" s="1453"/>
      <c r="L70" s="1453"/>
      <c r="M70" s="1453"/>
      <c r="N70" s="1453"/>
    </row>
    <row r="71" spans="1:14" ht="102.75" customHeight="1">
      <c r="A71" s="1487">
        <v>7</v>
      </c>
      <c r="B71" s="1042" t="s">
        <v>772</v>
      </c>
      <c r="C71" s="1038" t="s">
        <v>1201</v>
      </c>
      <c r="D71" s="1043"/>
      <c r="E71" s="1041"/>
      <c r="K71" s="1453"/>
    </row>
    <row r="72" spans="1:14" ht="172.5" customHeight="1">
      <c r="A72" s="1487">
        <v>7</v>
      </c>
      <c r="B72" s="1042" t="s">
        <v>773</v>
      </c>
      <c r="C72" s="1038" t="s">
        <v>1202</v>
      </c>
      <c r="D72" s="1043"/>
      <c r="E72" s="1041"/>
      <c r="K72" s="1453"/>
      <c r="L72" s="1453"/>
    </row>
    <row r="73" spans="1:14" ht="153" customHeight="1">
      <c r="A73" s="1487">
        <v>7</v>
      </c>
      <c r="B73" s="1042" t="s">
        <v>774</v>
      </c>
      <c r="C73" s="1047" t="s">
        <v>775</v>
      </c>
      <c r="D73" s="1043"/>
      <c r="E73" s="1041"/>
    </row>
    <row r="74" spans="1:14" ht="117" customHeight="1">
      <c r="A74" s="1487">
        <v>7</v>
      </c>
      <c r="B74" s="1042" t="s">
        <v>776</v>
      </c>
      <c r="C74" s="1038" t="s">
        <v>1203</v>
      </c>
      <c r="D74" s="1358" t="s">
        <v>413</v>
      </c>
      <c r="E74" s="1041"/>
      <c r="K74" s="1453"/>
    </row>
    <row r="75" spans="1:14" ht="79.5" customHeight="1">
      <c r="A75" s="1487">
        <v>7</v>
      </c>
      <c r="B75" s="1042" t="s">
        <v>777</v>
      </c>
      <c r="C75" s="1038" t="s">
        <v>1204</v>
      </c>
      <c r="D75" s="1043"/>
      <c r="E75" s="1041"/>
    </row>
    <row r="76" spans="1:14" ht="18">
      <c r="A76" s="1042"/>
      <c r="C76" s="1044" t="s">
        <v>778</v>
      </c>
      <c r="D76" s="1043"/>
      <c r="E76" s="1041"/>
    </row>
    <row r="77" spans="1:14" ht="135" customHeight="1">
      <c r="A77" s="1487">
        <v>7</v>
      </c>
      <c r="B77" s="1042" t="s">
        <v>779</v>
      </c>
      <c r="C77" s="1038" t="s">
        <v>780</v>
      </c>
      <c r="D77" s="1368" t="s">
        <v>413</v>
      </c>
      <c r="E77" s="1041"/>
    </row>
    <row r="78" spans="1:14" ht="189" customHeight="1">
      <c r="A78" s="1487">
        <v>7</v>
      </c>
      <c r="B78" s="1042" t="s">
        <v>705</v>
      </c>
      <c r="C78" s="1038" t="s">
        <v>1205</v>
      </c>
      <c r="D78" s="1368" t="s">
        <v>413</v>
      </c>
      <c r="E78" s="1041"/>
      <c r="K78" s="1453"/>
      <c r="L78" s="1453"/>
    </row>
    <row r="79" spans="1:14" ht="117" customHeight="1">
      <c r="A79" s="1487">
        <v>8</v>
      </c>
      <c r="B79" s="1042" t="s">
        <v>781</v>
      </c>
      <c r="C79" s="1038" t="s">
        <v>1207</v>
      </c>
      <c r="D79" s="1358" t="s">
        <v>413</v>
      </c>
      <c r="E79" s="1041"/>
      <c r="K79" s="1453"/>
    </row>
    <row r="80" spans="1:14" ht="18">
      <c r="A80" s="1042"/>
      <c r="B80" s="1042"/>
      <c r="C80" s="1044" t="s">
        <v>782</v>
      </c>
      <c r="D80" s="1331"/>
      <c r="E80" s="1041"/>
    </row>
    <row r="81" spans="1:12" ht="80.25" customHeight="1">
      <c r="A81" s="1487">
        <v>8</v>
      </c>
      <c r="B81" s="1042" t="s">
        <v>783</v>
      </c>
      <c r="C81" s="1038" t="s">
        <v>1208</v>
      </c>
      <c r="D81" s="1358" t="s">
        <v>413</v>
      </c>
      <c r="E81" s="1041"/>
      <c r="K81" s="1453"/>
    </row>
    <row r="82" spans="1:12" ht="18">
      <c r="A82" s="1042"/>
      <c r="B82" s="1042"/>
      <c r="C82" s="1044" t="s">
        <v>782</v>
      </c>
      <c r="D82" s="1331"/>
      <c r="E82" s="1041"/>
    </row>
    <row r="83" spans="1:12" ht="96.75" customHeight="1">
      <c r="A83" s="1487">
        <v>8</v>
      </c>
      <c r="B83" s="1042" t="s">
        <v>767</v>
      </c>
      <c r="C83" s="1038" t="s">
        <v>1209</v>
      </c>
      <c r="D83" s="1358" t="s">
        <v>413</v>
      </c>
      <c r="E83" s="1041"/>
      <c r="K83" s="1453"/>
    </row>
    <row r="84" spans="1:12" ht="64.5" customHeight="1">
      <c r="A84" s="1487">
        <v>8</v>
      </c>
      <c r="B84" s="1042" t="s">
        <v>784</v>
      </c>
      <c r="C84" s="1038" t="s">
        <v>1210</v>
      </c>
      <c r="D84" s="1358" t="s">
        <v>413</v>
      </c>
      <c r="E84" s="1041"/>
    </row>
    <row r="85" spans="1:12" ht="117" customHeight="1">
      <c r="A85" s="1487">
        <v>8</v>
      </c>
      <c r="B85" s="1042" t="s">
        <v>705</v>
      </c>
      <c r="C85" s="1038" t="s">
        <v>785</v>
      </c>
      <c r="D85" s="1358" t="s">
        <v>413</v>
      </c>
      <c r="E85" s="1041"/>
    </row>
    <row r="86" spans="1:12" ht="18">
      <c r="A86" s="1042"/>
      <c r="B86" s="1042"/>
      <c r="C86" s="1044" t="s">
        <v>782</v>
      </c>
      <c r="D86" s="1331"/>
      <c r="E86" s="1041"/>
    </row>
    <row r="87" spans="1:12" ht="115.5" customHeight="1">
      <c r="A87" s="1487">
        <v>8</v>
      </c>
      <c r="B87" s="1042" t="s">
        <v>724</v>
      </c>
      <c r="C87" s="1038" t="s">
        <v>1211</v>
      </c>
      <c r="D87" s="1043"/>
      <c r="E87" s="1041"/>
    </row>
    <row r="88" spans="1:12" ht="18">
      <c r="A88" s="1042"/>
      <c r="B88" s="1042"/>
      <c r="C88" s="1044" t="s">
        <v>782</v>
      </c>
      <c r="D88" s="1043"/>
      <c r="E88" s="1041"/>
    </row>
    <row r="89" spans="1:12" ht="81.75" customHeight="1">
      <c r="A89" s="1487">
        <v>8</v>
      </c>
      <c r="B89" s="1042" t="s">
        <v>786</v>
      </c>
      <c r="C89" s="1038" t="s">
        <v>1212</v>
      </c>
      <c r="D89" s="1358" t="s">
        <v>413</v>
      </c>
      <c r="E89" s="1041"/>
    </row>
    <row r="90" spans="1:12" ht="277.5" customHeight="1">
      <c r="A90" s="1487" t="s">
        <v>788</v>
      </c>
      <c r="B90" s="1042" t="s">
        <v>787</v>
      </c>
      <c r="C90" s="1038" t="s">
        <v>952</v>
      </c>
      <c r="D90" s="1043"/>
      <c r="E90" s="1041"/>
    </row>
    <row r="91" spans="1:12" ht="136.5" customHeight="1">
      <c r="A91" s="1487" t="s">
        <v>788</v>
      </c>
      <c r="B91" s="1042" t="s">
        <v>789</v>
      </c>
      <c r="C91" s="1038" t="s">
        <v>1213</v>
      </c>
      <c r="D91" s="1043"/>
      <c r="E91" s="1041"/>
      <c r="K91" s="1453"/>
      <c r="L91" s="1453"/>
    </row>
    <row r="92" spans="1:12" ht="172.5" customHeight="1">
      <c r="A92" s="1487" t="s">
        <v>788</v>
      </c>
      <c r="B92" s="1042" t="s">
        <v>789</v>
      </c>
      <c r="C92" s="1038" t="s">
        <v>1214</v>
      </c>
      <c r="D92" s="1043"/>
      <c r="E92" s="1041"/>
      <c r="K92" s="1453"/>
      <c r="L92" s="1453"/>
    </row>
    <row r="93" spans="1:12" ht="172.5" customHeight="1">
      <c r="A93" s="1487" t="s">
        <v>788</v>
      </c>
      <c r="B93" s="1042" t="s">
        <v>789</v>
      </c>
      <c r="C93" s="1038" t="s">
        <v>790</v>
      </c>
      <c r="D93" s="1043"/>
      <c r="E93" s="1041"/>
    </row>
    <row r="94" spans="1:12" ht="118.5" customHeight="1">
      <c r="A94" s="1487" t="s">
        <v>788</v>
      </c>
      <c r="B94" s="1042" t="s">
        <v>789</v>
      </c>
      <c r="C94" s="1038" t="s">
        <v>791</v>
      </c>
      <c r="D94" s="1043"/>
      <c r="E94" s="1041"/>
    </row>
    <row r="95" spans="1:12" ht="63" customHeight="1">
      <c r="A95" s="1487" t="s">
        <v>792</v>
      </c>
      <c r="B95" s="1042" t="s">
        <v>793</v>
      </c>
      <c r="C95" s="1038" t="s">
        <v>1215</v>
      </c>
      <c r="D95" s="1043"/>
      <c r="E95" s="1041"/>
    </row>
    <row r="96" spans="1:12" ht="100.5" customHeight="1">
      <c r="A96" s="1490" t="s">
        <v>794</v>
      </c>
      <c r="B96" s="1042" t="s">
        <v>397</v>
      </c>
      <c r="C96" s="1038" t="s">
        <v>795</v>
      </c>
      <c r="D96" s="1043"/>
      <c r="E96" s="1041"/>
    </row>
    <row r="97" spans="1:12" ht="246" customHeight="1">
      <c r="A97" s="1490" t="s">
        <v>794</v>
      </c>
      <c r="B97" s="1042" t="s">
        <v>796</v>
      </c>
      <c r="C97" s="1038" t="s">
        <v>1385</v>
      </c>
      <c r="D97" s="1043"/>
      <c r="E97" s="1041"/>
      <c r="K97" s="1453"/>
      <c r="L97" s="1453"/>
    </row>
    <row r="98" spans="1:12" ht="63.75" customHeight="1">
      <c r="A98" s="1490" t="s">
        <v>794</v>
      </c>
      <c r="B98" s="1042" t="s">
        <v>796</v>
      </c>
      <c r="C98" s="1038" t="s">
        <v>797</v>
      </c>
      <c r="D98" s="1043"/>
      <c r="E98" s="1041"/>
    </row>
    <row r="99" spans="1:12" ht="114" customHeight="1">
      <c r="A99" s="1490" t="s">
        <v>794</v>
      </c>
      <c r="B99" s="1042" t="s">
        <v>748</v>
      </c>
      <c r="C99" s="1038" t="s">
        <v>1216</v>
      </c>
      <c r="D99" s="1043"/>
      <c r="E99" s="1041"/>
      <c r="K99" s="1453"/>
    </row>
    <row r="100" spans="1:12" ht="99.75" customHeight="1">
      <c r="A100" s="1490" t="s">
        <v>794</v>
      </c>
      <c r="B100" s="1323" t="s">
        <v>781</v>
      </c>
      <c r="C100" s="1038" t="s">
        <v>798</v>
      </c>
      <c r="D100" s="1052"/>
      <c r="E100" s="1041"/>
    </row>
    <row r="101" spans="1:12" ht="36">
      <c r="A101" s="1490" t="s">
        <v>794</v>
      </c>
      <c r="B101" s="1042" t="s">
        <v>799</v>
      </c>
      <c r="C101" s="1041" t="s">
        <v>1217</v>
      </c>
      <c r="D101" s="1043"/>
      <c r="E101" s="1041"/>
    </row>
    <row r="102" spans="1:12" ht="114" customHeight="1">
      <c r="A102" s="1490" t="s">
        <v>794</v>
      </c>
      <c r="B102" s="1259" t="s">
        <v>800</v>
      </c>
      <c r="C102" s="1355" t="s">
        <v>953</v>
      </c>
      <c r="D102" s="1043"/>
      <c r="E102" s="1041"/>
    </row>
    <row r="103" spans="1:12" ht="101.25" customHeight="1">
      <c r="A103" s="1490" t="s">
        <v>801</v>
      </c>
      <c r="B103" s="1259" t="s">
        <v>397</v>
      </c>
      <c r="C103" s="1356" t="s">
        <v>897</v>
      </c>
      <c r="D103" s="1043"/>
      <c r="E103" s="1041"/>
    </row>
    <row r="104" spans="1:12" ht="82.5" customHeight="1">
      <c r="A104" s="1490" t="s">
        <v>801</v>
      </c>
      <c r="B104" s="1259" t="s">
        <v>802</v>
      </c>
      <c r="C104" s="1053" t="s">
        <v>1218</v>
      </c>
      <c r="D104" s="1043"/>
      <c r="E104" s="1261"/>
    </row>
    <row r="105" spans="1:12" ht="67.5" customHeight="1">
      <c r="A105" s="1490" t="s">
        <v>801</v>
      </c>
      <c r="B105" s="1259" t="s">
        <v>803</v>
      </c>
      <c r="C105" s="1053" t="s">
        <v>1219</v>
      </c>
      <c r="D105" s="1043"/>
      <c r="E105" s="1261"/>
    </row>
    <row r="106" spans="1:12" ht="72" customHeight="1">
      <c r="A106" s="1490" t="s">
        <v>801</v>
      </c>
      <c r="B106" s="1259" t="s">
        <v>804</v>
      </c>
      <c r="C106" s="1053" t="s">
        <v>1220</v>
      </c>
      <c r="D106" s="1043"/>
      <c r="E106" s="1261"/>
    </row>
    <row r="107" spans="1:12" ht="86.25" customHeight="1">
      <c r="A107" s="1490" t="s">
        <v>801</v>
      </c>
      <c r="B107" s="1259" t="s">
        <v>805</v>
      </c>
      <c r="C107" s="1053" t="s">
        <v>1221</v>
      </c>
      <c r="D107" s="1043"/>
      <c r="E107" s="1261"/>
      <c r="F107" s="1486"/>
    </row>
    <row r="108" spans="1:12" ht="82.5" customHeight="1">
      <c r="A108" s="1490" t="s">
        <v>801</v>
      </c>
      <c r="B108" s="1259" t="s">
        <v>806</v>
      </c>
      <c r="C108" s="1053" t="s">
        <v>1222</v>
      </c>
      <c r="D108" s="1043"/>
      <c r="E108" s="1261"/>
    </row>
    <row r="109" spans="1:12" ht="157.19999999999999" customHeight="1">
      <c r="A109" s="1490" t="s">
        <v>801</v>
      </c>
      <c r="B109" s="1259" t="s">
        <v>807</v>
      </c>
      <c r="C109" s="1053" t="s">
        <v>1223</v>
      </c>
      <c r="D109" s="1043"/>
      <c r="E109" s="1261"/>
    </row>
    <row r="110" spans="1:12" ht="98.7" customHeight="1">
      <c r="A110" s="1490" t="s">
        <v>801</v>
      </c>
      <c r="B110" s="1259" t="s">
        <v>808</v>
      </c>
      <c r="C110" s="1053" t="s">
        <v>1224</v>
      </c>
      <c r="D110" s="1043"/>
      <c r="E110" s="1261"/>
    </row>
    <row r="111" spans="1:12" ht="100.2" customHeight="1">
      <c r="A111" s="1490" t="s">
        <v>801</v>
      </c>
      <c r="B111" s="1259" t="s">
        <v>809</v>
      </c>
      <c r="C111" s="1053" t="s">
        <v>1225</v>
      </c>
      <c r="D111" s="1043"/>
      <c r="E111" s="1261"/>
    </row>
    <row r="112" spans="1:12" ht="93" customHeight="1">
      <c r="A112" s="1490" t="s">
        <v>801</v>
      </c>
      <c r="B112" s="1259" t="s">
        <v>810</v>
      </c>
      <c r="C112" s="1356" t="s">
        <v>965</v>
      </c>
      <c r="D112" s="1043"/>
      <c r="E112" s="1261"/>
    </row>
    <row r="113" spans="1:13" ht="155.25" customHeight="1">
      <c r="A113" s="1490" t="s">
        <v>801</v>
      </c>
      <c r="B113" s="1259" t="s">
        <v>811</v>
      </c>
      <c r="C113" s="1356" t="s">
        <v>812</v>
      </c>
      <c r="D113" s="1043"/>
      <c r="E113" s="1261"/>
    </row>
    <row r="114" spans="1:13" ht="117.75" customHeight="1">
      <c r="A114" s="1490" t="s">
        <v>801</v>
      </c>
      <c r="B114" s="1259" t="s">
        <v>813</v>
      </c>
      <c r="C114" s="1053" t="s">
        <v>1226</v>
      </c>
      <c r="D114" s="1043"/>
      <c r="E114" s="1261"/>
    </row>
    <row r="115" spans="1:13" ht="145.19999999999999" customHeight="1">
      <c r="A115" s="1490" t="s">
        <v>801</v>
      </c>
      <c r="B115" s="1259" t="s">
        <v>814</v>
      </c>
      <c r="C115" s="1053" t="s">
        <v>1394</v>
      </c>
      <c r="D115" s="1043"/>
      <c r="E115" s="1261"/>
    </row>
    <row r="116" spans="1:13" ht="82.5" customHeight="1">
      <c r="A116" s="1490" t="s">
        <v>801</v>
      </c>
      <c r="B116" s="1259" t="s">
        <v>940</v>
      </c>
      <c r="C116" s="1356" t="s">
        <v>941</v>
      </c>
      <c r="D116" s="1043"/>
      <c r="E116" s="1261"/>
    </row>
    <row r="117" spans="1:13" ht="84" customHeight="1">
      <c r="A117" s="1490" t="s">
        <v>815</v>
      </c>
      <c r="B117" s="1042" t="s">
        <v>397</v>
      </c>
      <c r="C117" s="1053" t="s">
        <v>816</v>
      </c>
      <c r="D117" s="1043"/>
      <c r="E117" s="1041"/>
    </row>
    <row r="118" spans="1:13" ht="83.25" customHeight="1">
      <c r="A118" s="1490" t="s">
        <v>815</v>
      </c>
      <c r="B118" s="1042" t="s">
        <v>397</v>
      </c>
      <c r="C118" s="1053" t="s">
        <v>817</v>
      </c>
      <c r="D118" s="1043"/>
      <c r="E118" s="1041"/>
    </row>
    <row r="119" spans="1:13" ht="72" customHeight="1">
      <c r="A119" s="1490" t="s">
        <v>815</v>
      </c>
      <c r="B119" s="1042" t="s">
        <v>910</v>
      </c>
      <c r="C119" s="1508" t="s">
        <v>954</v>
      </c>
      <c r="D119" s="1043"/>
      <c r="E119" s="1046"/>
    </row>
    <row r="120" spans="1:13" ht="111" customHeight="1">
      <c r="A120" s="1490" t="s">
        <v>815</v>
      </c>
      <c r="B120" s="1042" t="s">
        <v>911</v>
      </c>
      <c r="C120" s="1508" t="s">
        <v>955</v>
      </c>
      <c r="D120" s="1043"/>
      <c r="E120" s="1046"/>
    </row>
    <row r="121" spans="1:13" ht="101.25" customHeight="1">
      <c r="A121" s="1490" t="s">
        <v>815</v>
      </c>
      <c r="B121" s="1042" t="s">
        <v>818</v>
      </c>
      <c r="C121" s="1054" t="s">
        <v>1227</v>
      </c>
      <c r="D121" s="1055"/>
      <c r="E121" s="1041"/>
      <c r="F121" s="1455"/>
      <c r="K121" s="1453"/>
    </row>
    <row r="122" spans="1:13" ht="252">
      <c r="A122" s="1490" t="s">
        <v>815</v>
      </c>
      <c r="B122" s="1042" t="s">
        <v>819</v>
      </c>
      <c r="C122" s="1054" t="s">
        <v>1228</v>
      </c>
      <c r="D122" s="1369" t="s">
        <v>413</v>
      </c>
      <c r="E122" s="1041"/>
      <c r="K122" s="1453"/>
      <c r="L122" s="1453"/>
    </row>
    <row r="123" spans="1:13" ht="342">
      <c r="A123" s="1490" t="s">
        <v>815</v>
      </c>
      <c r="B123" s="1042" t="s">
        <v>820</v>
      </c>
      <c r="C123" s="1208" t="s">
        <v>1229</v>
      </c>
      <c r="D123" s="1369" t="s">
        <v>413</v>
      </c>
      <c r="E123" s="1261"/>
      <c r="K123" s="1453"/>
      <c r="L123" s="1453"/>
      <c r="M123" s="1453"/>
    </row>
    <row r="124" spans="1:13" ht="204" customHeight="1">
      <c r="A124" s="1490" t="s">
        <v>815</v>
      </c>
      <c r="B124" s="1042" t="s">
        <v>821</v>
      </c>
      <c r="C124" s="1054" t="s">
        <v>1230</v>
      </c>
      <c r="D124" s="1369" t="s">
        <v>413</v>
      </c>
      <c r="E124" s="1046"/>
      <c r="K124" s="1453"/>
    </row>
    <row r="125" spans="1:13" ht="59.25" customHeight="1">
      <c r="A125" s="1490" t="s">
        <v>815</v>
      </c>
      <c r="B125" s="1042" t="s">
        <v>822</v>
      </c>
      <c r="C125" s="1057" t="s">
        <v>824</v>
      </c>
      <c r="D125" s="1325"/>
      <c r="E125" s="1041"/>
    </row>
    <row r="126" spans="1:13" ht="385.5" customHeight="1">
      <c r="A126" s="1490" t="s">
        <v>815</v>
      </c>
      <c r="B126" s="1423" t="s">
        <v>913</v>
      </c>
      <c r="C126" s="1054" t="s">
        <v>823</v>
      </c>
      <c r="D126" s="1325"/>
      <c r="E126" s="1041"/>
    </row>
    <row r="127" spans="1:13" ht="22.5" customHeight="1">
      <c r="A127" s="1321"/>
      <c r="B127" s="1323"/>
      <c r="C127" s="1056" t="s">
        <v>712</v>
      </c>
      <c r="D127" s="1325"/>
      <c r="E127" s="1041"/>
    </row>
    <row r="128" spans="1:13" ht="59.25" customHeight="1">
      <c r="A128" s="1490" t="s">
        <v>815</v>
      </c>
      <c r="B128" s="1042" t="s">
        <v>825</v>
      </c>
      <c r="C128" s="1057" t="s">
        <v>826</v>
      </c>
      <c r="D128" s="1325"/>
      <c r="E128" s="1041"/>
    </row>
    <row r="129" spans="1:12" ht="60.75" customHeight="1">
      <c r="A129" s="1490" t="s">
        <v>815</v>
      </c>
      <c r="B129" s="1042" t="s">
        <v>827</v>
      </c>
      <c r="C129" s="1054" t="s">
        <v>828</v>
      </c>
      <c r="D129" s="1043"/>
      <c r="E129" s="1041"/>
    </row>
    <row r="130" spans="1:12" ht="63.75" customHeight="1">
      <c r="A130" s="1490" t="s">
        <v>815</v>
      </c>
      <c r="B130" s="1042" t="s">
        <v>829</v>
      </c>
      <c r="C130" s="1054" t="s">
        <v>830</v>
      </c>
      <c r="D130" s="1043"/>
      <c r="E130" s="1041"/>
    </row>
    <row r="131" spans="1:12" ht="58.5" customHeight="1">
      <c r="A131" s="1490" t="s">
        <v>815</v>
      </c>
      <c r="B131" s="1042" t="s">
        <v>831</v>
      </c>
      <c r="C131" s="1054" t="s">
        <v>832</v>
      </c>
      <c r="D131" s="1043"/>
      <c r="E131" s="1041"/>
    </row>
    <row r="132" spans="1:12" ht="63" customHeight="1">
      <c r="A132" s="1490" t="s">
        <v>815</v>
      </c>
      <c r="B132" s="1042" t="s">
        <v>833</v>
      </c>
      <c r="C132" s="1054" t="s">
        <v>834</v>
      </c>
      <c r="D132" s="1043"/>
      <c r="E132" s="1041"/>
    </row>
    <row r="133" spans="1:12" ht="61.5" customHeight="1">
      <c r="A133" s="1490" t="s">
        <v>815</v>
      </c>
      <c r="B133" s="1042" t="s">
        <v>835</v>
      </c>
      <c r="C133" s="1054" t="s">
        <v>836</v>
      </c>
      <c r="D133" s="1043"/>
      <c r="E133" s="1041"/>
    </row>
    <row r="134" spans="1:12" ht="59.25" customHeight="1">
      <c r="A134" s="1490" t="s">
        <v>815</v>
      </c>
      <c r="B134" s="1042" t="s">
        <v>837</v>
      </c>
      <c r="C134" s="1054" t="s">
        <v>838</v>
      </c>
      <c r="D134" s="1043"/>
      <c r="E134" s="1041"/>
    </row>
    <row r="135" spans="1:12" ht="63" customHeight="1">
      <c r="A135" s="1490" t="s">
        <v>815</v>
      </c>
      <c r="B135" s="1042" t="s">
        <v>839</v>
      </c>
      <c r="C135" s="1054" t="s">
        <v>840</v>
      </c>
      <c r="D135" s="1043"/>
      <c r="E135" s="1041"/>
    </row>
    <row r="136" spans="1:12" ht="58.5" customHeight="1">
      <c r="A136" s="1490" t="s">
        <v>815</v>
      </c>
      <c r="B136" s="1042" t="s">
        <v>841</v>
      </c>
      <c r="C136" s="1054" t="s">
        <v>842</v>
      </c>
      <c r="D136" s="1043"/>
      <c r="E136" s="1041"/>
    </row>
    <row r="137" spans="1:12" ht="59.25" customHeight="1">
      <c r="A137" s="1490" t="s">
        <v>815</v>
      </c>
      <c r="B137" s="1042" t="s">
        <v>843</v>
      </c>
      <c r="C137" s="1054" t="s">
        <v>844</v>
      </c>
      <c r="D137" s="1043"/>
      <c r="E137" s="1041"/>
    </row>
    <row r="138" spans="1:12" ht="63.75" customHeight="1">
      <c r="A138" s="1490" t="s">
        <v>815</v>
      </c>
      <c r="B138" s="1042" t="s">
        <v>845</v>
      </c>
      <c r="C138" s="1054" t="s">
        <v>846</v>
      </c>
      <c r="D138" s="1043"/>
      <c r="E138" s="1041"/>
    </row>
    <row r="139" spans="1:12" ht="99" customHeight="1">
      <c r="A139" s="1490" t="s">
        <v>815</v>
      </c>
      <c r="B139" s="1042" t="s">
        <v>847</v>
      </c>
      <c r="C139" s="1054" t="s">
        <v>1231</v>
      </c>
      <c r="D139" s="1043"/>
      <c r="E139" s="1041"/>
    </row>
    <row r="140" spans="1:12" ht="151.19999999999999" customHeight="1">
      <c r="A140" s="1490" t="s">
        <v>815</v>
      </c>
      <c r="B140" s="1042" t="s">
        <v>898</v>
      </c>
      <c r="C140" s="1054" t="s">
        <v>1386</v>
      </c>
      <c r="D140" s="1369" t="s">
        <v>413</v>
      </c>
      <c r="E140" s="1041"/>
      <c r="F140" s="1483"/>
    </row>
    <row r="141" spans="1:12" ht="103.5" customHeight="1">
      <c r="A141" s="1490" t="s">
        <v>815</v>
      </c>
      <c r="B141" s="1042" t="s">
        <v>848</v>
      </c>
      <c r="C141" s="1054" t="s">
        <v>849</v>
      </c>
      <c r="D141" s="1043"/>
      <c r="E141" s="1041"/>
    </row>
    <row r="142" spans="1:12" ht="154.5" customHeight="1">
      <c r="A142" s="1490" t="s">
        <v>815</v>
      </c>
      <c r="B142" s="1042" t="s">
        <v>850</v>
      </c>
      <c r="C142" s="1041" t="s">
        <v>1232</v>
      </c>
      <c r="D142" s="1043"/>
      <c r="E142" s="1041"/>
      <c r="K142" s="1453"/>
      <c r="L142" s="1453"/>
    </row>
    <row r="143" spans="1:12" ht="18.75" customHeight="1">
      <c r="A143" s="1041"/>
      <c r="B143" s="1042"/>
      <c r="C143" s="1058" t="s">
        <v>851</v>
      </c>
      <c r="D143" s="1043"/>
      <c r="E143" s="1041"/>
    </row>
    <row r="144" spans="1:12" ht="66.75" customHeight="1">
      <c r="A144" s="1490" t="s">
        <v>815</v>
      </c>
      <c r="B144" s="1042" t="s">
        <v>852</v>
      </c>
      <c r="C144" s="1041" t="s">
        <v>1233</v>
      </c>
      <c r="D144" s="1043"/>
      <c r="E144" s="1041"/>
    </row>
    <row r="145" spans="1:12" ht="61.5" customHeight="1">
      <c r="A145" s="1490" t="s">
        <v>815</v>
      </c>
      <c r="B145" s="1042" t="s">
        <v>853</v>
      </c>
      <c r="C145" s="1041" t="s">
        <v>1234</v>
      </c>
      <c r="D145" s="1043"/>
      <c r="E145" s="1041"/>
    </row>
    <row r="146" spans="1:12" ht="25.5" customHeight="1">
      <c r="A146" s="1041"/>
      <c r="B146" s="1042"/>
      <c r="C146" s="1058" t="s">
        <v>722</v>
      </c>
      <c r="D146" s="1043"/>
      <c r="E146" s="1041"/>
    </row>
    <row r="147" spans="1:12" ht="151.5" customHeight="1">
      <c r="A147" s="1490" t="s">
        <v>815</v>
      </c>
      <c r="B147" s="1042" t="s">
        <v>854</v>
      </c>
      <c r="C147" s="1209" t="s">
        <v>1235</v>
      </c>
      <c r="D147" s="1043"/>
      <c r="E147" s="1041"/>
      <c r="K147" s="1453"/>
      <c r="L147" s="1453"/>
    </row>
    <row r="148" spans="1:12" ht="117" customHeight="1">
      <c r="A148" s="1490" t="s">
        <v>815</v>
      </c>
      <c r="B148" s="1042" t="s">
        <v>855</v>
      </c>
      <c r="C148" s="1041" t="s">
        <v>1236</v>
      </c>
      <c r="D148" s="1043"/>
      <c r="E148" s="1041"/>
      <c r="K148" s="1453"/>
    </row>
    <row r="149" spans="1:12" ht="135" customHeight="1">
      <c r="A149" s="1490" t="s">
        <v>815</v>
      </c>
      <c r="B149" s="1042" t="s">
        <v>856</v>
      </c>
      <c r="C149" s="1041" t="s">
        <v>857</v>
      </c>
      <c r="D149" s="1043"/>
      <c r="E149" s="1041"/>
    </row>
    <row r="150" spans="1:12" ht="18">
      <c r="A150" s="1041"/>
      <c r="B150" s="1042"/>
      <c r="C150" s="1058" t="s">
        <v>722</v>
      </c>
      <c r="D150" s="1043"/>
      <c r="E150" s="1041"/>
    </row>
    <row r="151" spans="1:12" ht="86.25" customHeight="1">
      <c r="A151" s="1490" t="s">
        <v>815</v>
      </c>
      <c r="B151" s="1042" t="s">
        <v>858</v>
      </c>
      <c r="C151" s="1041" t="s">
        <v>1237</v>
      </c>
      <c r="D151" s="1043"/>
      <c r="E151" s="1041"/>
      <c r="K151" s="1453"/>
    </row>
    <row r="152" spans="1:12" ht="47.25" customHeight="1">
      <c r="A152" s="1490" t="s">
        <v>815</v>
      </c>
      <c r="B152" s="1042" t="s">
        <v>859</v>
      </c>
      <c r="C152" s="1041" t="s">
        <v>860</v>
      </c>
      <c r="D152" s="1043"/>
      <c r="E152" s="1041"/>
    </row>
    <row r="153" spans="1:12" ht="261" customHeight="1">
      <c r="A153" s="1490" t="s">
        <v>815</v>
      </c>
      <c r="B153" s="1042" t="s">
        <v>861</v>
      </c>
      <c r="C153" s="1041" t="s">
        <v>862</v>
      </c>
      <c r="D153" s="1043"/>
      <c r="E153" s="1041"/>
    </row>
    <row r="154" spans="1:12" ht="153.75" customHeight="1">
      <c r="A154" s="1490" t="s">
        <v>815</v>
      </c>
      <c r="B154" s="1042" t="s">
        <v>863</v>
      </c>
      <c r="C154" s="1054" t="s">
        <v>956</v>
      </c>
      <c r="D154" s="1369" t="s">
        <v>413</v>
      </c>
      <c r="E154" s="1041"/>
    </row>
    <row r="155" spans="1:12" ht="135" customHeight="1">
      <c r="A155" s="1490" t="s">
        <v>815</v>
      </c>
      <c r="B155" s="1042" t="s">
        <v>864</v>
      </c>
      <c r="C155" s="1041" t="s">
        <v>918</v>
      </c>
      <c r="D155" s="1369" t="s">
        <v>413</v>
      </c>
      <c r="E155" s="1046"/>
    </row>
    <row r="156" spans="1:12" ht="62.25" customHeight="1">
      <c r="A156" s="1490" t="s">
        <v>815</v>
      </c>
      <c r="B156" s="1077" t="s">
        <v>865</v>
      </c>
      <c r="C156" s="1076" t="s">
        <v>866</v>
      </c>
      <c r="D156" s="1043"/>
      <c r="E156" s="1041"/>
    </row>
    <row r="157" spans="1:12" ht="168" customHeight="1">
      <c r="A157" s="1490" t="s">
        <v>815</v>
      </c>
      <c r="B157" s="1259" t="s">
        <v>867</v>
      </c>
      <c r="C157" s="1357" t="s">
        <v>919</v>
      </c>
      <c r="D157" s="1370" t="s">
        <v>413</v>
      </c>
      <c r="E157" s="1041"/>
    </row>
    <row r="158" spans="1:12" ht="22.5" customHeight="1">
      <c r="A158" s="1042"/>
      <c r="B158" s="1042"/>
      <c r="C158" s="1044" t="s">
        <v>782</v>
      </c>
      <c r="D158" s="1043"/>
      <c r="E158" s="1261"/>
    </row>
    <row r="159" spans="1:12" ht="169.5" customHeight="1">
      <c r="A159" s="1490" t="s">
        <v>815</v>
      </c>
      <c r="B159" s="1259" t="s">
        <v>868</v>
      </c>
      <c r="C159" s="1357" t="s">
        <v>920</v>
      </c>
      <c r="D159" s="1370" t="s">
        <v>413</v>
      </c>
      <c r="E159" s="1261"/>
    </row>
    <row r="160" spans="1:12" ht="18">
      <c r="A160" s="1042"/>
      <c r="B160" s="1042"/>
      <c r="C160" s="1044" t="s">
        <v>782</v>
      </c>
      <c r="D160" s="1043"/>
      <c r="E160" s="1261"/>
    </row>
    <row r="161" spans="1:14" ht="54">
      <c r="A161" s="1490" t="s">
        <v>815</v>
      </c>
      <c r="B161" s="1042" t="s">
        <v>869</v>
      </c>
      <c r="C161" s="1509" t="s">
        <v>915</v>
      </c>
      <c r="D161" s="1115"/>
      <c r="E161" s="1046"/>
    </row>
    <row r="162" spans="1:14" ht="54">
      <c r="A162" s="1490" t="s">
        <v>815</v>
      </c>
      <c r="B162" s="1042" t="s">
        <v>870</v>
      </c>
      <c r="C162" s="1509" t="s">
        <v>915</v>
      </c>
      <c r="D162" s="1115"/>
      <c r="E162" s="1046"/>
    </row>
    <row r="163" spans="1:14" ht="63" customHeight="1">
      <c r="A163" s="1490" t="s">
        <v>815</v>
      </c>
      <c r="B163" s="1259" t="s">
        <v>871</v>
      </c>
      <c r="C163" s="1041" t="s">
        <v>872</v>
      </c>
      <c r="D163" s="1115"/>
      <c r="E163" s="1041"/>
    </row>
    <row r="164" spans="1:14" s="1078" customFormat="1" ht="115.5" customHeight="1">
      <c r="A164" s="1490" t="s">
        <v>815</v>
      </c>
      <c r="B164" s="1077" t="s">
        <v>873</v>
      </c>
      <c r="C164" s="1076" t="s">
        <v>957</v>
      </c>
      <c r="D164" s="1370" t="s">
        <v>413</v>
      </c>
      <c r="E164" s="1076"/>
      <c r="F164" s="1037"/>
      <c r="G164" s="1037"/>
      <c r="H164" s="1037"/>
      <c r="I164" s="1037"/>
      <c r="J164" s="1037"/>
      <c r="K164" s="1037"/>
      <c r="L164" s="1037"/>
      <c r="M164" s="1037"/>
      <c r="N164" s="1037"/>
    </row>
    <row r="165" spans="1:14" ht="121.5" customHeight="1">
      <c r="A165" s="1490" t="s">
        <v>815</v>
      </c>
      <c r="B165" s="1042" t="s">
        <v>874</v>
      </c>
      <c r="C165" s="1041" t="s">
        <v>1387</v>
      </c>
      <c r="D165" s="1358" t="s">
        <v>413</v>
      </c>
      <c r="E165" s="1041"/>
      <c r="K165" s="1453"/>
    </row>
    <row r="166" spans="1:14" ht="138" customHeight="1">
      <c r="A166" s="1490" t="s">
        <v>815</v>
      </c>
      <c r="B166" s="1259" t="s">
        <v>875</v>
      </c>
      <c r="C166" s="1041" t="s">
        <v>1238</v>
      </c>
      <c r="D166" s="1043"/>
      <c r="E166" s="1041"/>
      <c r="K166" s="1453"/>
      <c r="L166" s="1453"/>
    </row>
    <row r="167" spans="1:14" ht="133.5" customHeight="1">
      <c r="A167" s="1490" t="s">
        <v>815</v>
      </c>
      <c r="B167" s="1042" t="s">
        <v>876</v>
      </c>
      <c r="C167" s="1041" t="s">
        <v>1239</v>
      </c>
      <c r="D167" s="1043"/>
      <c r="E167" s="1041"/>
      <c r="K167" s="1453"/>
      <c r="L167" s="1453"/>
    </row>
    <row r="168" spans="1:14" ht="114.75" customHeight="1">
      <c r="A168" s="1490" t="s">
        <v>815</v>
      </c>
      <c r="B168" s="1042" t="s">
        <v>877</v>
      </c>
      <c r="C168" s="1041" t="s">
        <v>878</v>
      </c>
      <c r="D168" s="1043"/>
      <c r="E168" s="1041"/>
    </row>
    <row r="169" spans="1:14" ht="62.25" customHeight="1">
      <c r="A169" s="1490" t="s">
        <v>815</v>
      </c>
      <c r="B169" s="1042" t="s">
        <v>879</v>
      </c>
      <c r="C169" s="1041" t="s">
        <v>880</v>
      </c>
      <c r="D169" s="1043"/>
      <c r="E169" s="1041"/>
    </row>
    <row r="170" spans="1:14" ht="168" customHeight="1">
      <c r="A170" s="1490" t="s">
        <v>815</v>
      </c>
      <c r="B170" s="1042" t="s">
        <v>881</v>
      </c>
      <c r="C170" s="1041" t="s">
        <v>1240</v>
      </c>
      <c r="D170" s="1043"/>
      <c r="E170" s="1041"/>
      <c r="K170" s="1453"/>
      <c r="L170" s="1453"/>
    </row>
    <row r="171" spans="1:14" ht="81" customHeight="1">
      <c r="A171" s="1490" t="s">
        <v>815</v>
      </c>
      <c r="B171" s="1042" t="s">
        <v>882</v>
      </c>
      <c r="C171" s="1041" t="s">
        <v>883</v>
      </c>
      <c r="D171" s="1043"/>
      <c r="E171" s="1041"/>
    </row>
    <row r="172" spans="1:14" ht="18">
      <c r="A172" s="1041"/>
      <c r="B172" s="1042"/>
      <c r="C172" s="1059" t="s">
        <v>782</v>
      </c>
      <c r="D172" s="1043"/>
      <c r="E172" s="1041"/>
    </row>
    <row r="173" spans="1:14" ht="100.5" customHeight="1">
      <c r="A173" s="1490" t="s">
        <v>815</v>
      </c>
      <c r="B173" s="1042" t="s">
        <v>884</v>
      </c>
      <c r="C173" s="1041" t="s">
        <v>885</v>
      </c>
      <c r="D173" s="1043"/>
      <c r="E173" s="1041"/>
    </row>
    <row r="174" spans="1:14" ht="150" customHeight="1">
      <c r="A174" s="1490" t="s">
        <v>815</v>
      </c>
      <c r="B174" s="1042" t="s">
        <v>886</v>
      </c>
      <c r="C174" s="1041" t="s">
        <v>887</v>
      </c>
      <c r="D174" s="1043"/>
      <c r="E174" s="1041"/>
    </row>
    <row r="175" spans="1:14" ht="133.5" customHeight="1">
      <c r="A175" s="1490" t="s">
        <v>483</v>
      </c>
      <c r="B175" s="1042" t="s">
        <v>397</v>
      </c>
      <c r="C175" s="1041" t="s">
        <v>888</v>
      </c>
      <c r="D175" s="1043"/>
      <c r="E175" s="1041"/>
    </row>
    <row r="176" spans="1:14" ht="64.5" customHeight="1">
      <c r="A176" s="1490" t="s">
        <v>889</v>
      </c>
      <c r="B176" s="1042" t="s">
        <v>397</v>
      </c>
      <c r="C176" s="1041" t="s">
        <v>890</v>
      </c>
      <c r="D176" s="1041"/>
      <c r="E176" s="1041"/>
    </row>
    <row r="177" spans="1:5" ht="43.5" customHeight="1">
      <c r="A177" s="1490" t="s">
        <v>889</v>
      </c>
      <c r="B177" s="1042" t="s">
        <v>891</v>
      </c>
      <c r="C177" s="1041" t="s">
        <v>892</v>
      </c>
      <c r="D177" s="1043"/>
      <c r="E177" s="1041"/>
    </row>
    <row r="178" spans="1:5" ht="229.5" customHeight="1">
      <c r="A178" s="1490" t="s">
        <v>889</v>
      </c>
      <c r="B178" s="1042" t="s">
        <v>893</v>
      </c>
      <c r="C178" s="1041" t="s">
        <v>921</v>
      </c>
      <c r="D178" s="1043"/>
      <c r="E178" s="1041"/>
    </row>
  </sheetData>
  <sheetProtection sheet="1" formatCells="0" formatColumns="0" formatRows="0" autoFilter="0"/>
  <autoFilter ref="D1:E178" xr:uid="{00000000-0009-0000-0000-000011000000}"/>
  <mergeCells count="9">
    <mergeCell ref="B18:B19"/>
    <mergeCell ref="A11:A12"/>
    <mergeCell ref="A16:A17"/>
    <mergeCell ref="E11:E12"/>
    <mergeCell ref="E16:E17"/>
    <mergeCell ref="B11:B12"/>
    <mergeCell ref="D11:D12"/>
    <mergeCell ref="B16:B17"/>
    <mergeCell ref="D16:D17"/>
  </mergeCells>
  <hyperlinks>
    <hyperlink ref="C12" r:id="rId1" xr:uid="{00000000-0004-0000-1100-000000000000}"/>
    <hyperlink ref="C17" r:id="rId2" xr:uid="{00000000-0004-0000-1100-000001000000}"/>
    <hyperlink ref="C65" r:id="rId3" xr:uid="{00000000-0004-0000-1100-000002000000}"/>
    <hyperlink ref="C143" r:id="rId4" xr:uid="{00000000-0004-0000-1100-000003000000}"/>
    <hyperlink ref="C32" r:id="rId5" xr:uid="{00000000-0004-0000-1100-000004000000}"/>
    <hyperlink ref="C67" r:id="rId6" xr:uid="{00000000-0004-0000-1100-000005000000}"/>
    <hyperlink ref="C127" r:id="rId7" xr:uid="{00000000-0004-0000-1100-000006000000}"/>
    <hyperlink ref="C3" location="DataEntryGeneral" display="Data Entry page instructions" xr:uid="{00000000-0004-0000-1100-000007000000}"/>
    <hyperlink ref="C62" r:id="rId8" xr:uid="{00000000-0004-0000-1100-000008000000}"/>
    <hyperlink ref="C76" r:id="rId9" xr:uid="{00000000-0004-0000-1100-000009000000}"/>
    <hyperlink ref="C80" r:id="rId10" xr:uid="{00000000-0004-0000-1100-00000A000000}"/>
    <hyperlink ref="C82" r:id="rId11" xr:uid="{00000000-0004-0000-1100-00000B000000}"/>
    <hyperlink ref="C86" r:id="rId12" xr:uid="{00000000-0004-0000-1100-00000C000000}"/>
    <hyperlink ref="C88" r:id="rId13" xr:uid="{00000000-0004-0000-1100-00000D000000}"/>
    <hyperlink ref="C172" r:id="rId14" xr:uid="{00000000-0004-0000-1100-00000E000000}"/>
    <hyperlink ref="C55" r:id="rId15" xr:uid="{00000000-0004-0000-1100-00000F000000}"/>
    <hyperlink ref="C160" r:id="rId16" xr:uid="{00000000-0004-0000-1100-000010000000}"/>
    <hyperlink ref="C158" r:id="rId17" xr:uid="{00000000-0004-0000-1100-000011000000}"/>
    <hyperlink ref="C146" r:id="rId18" xr:uid="{00000000-0004-0000-1100-000012000000}"/>
    <hyperlink ref="C150" r:id="rId19" xr:uid="{00000000-0004-0000-1100-000013000000}"/>
    <hyperlink ref="A8" location="Cover!A1" display="Cover" xr:uid="{00000000-0004-0000-1100-000014000000}"/>
    <hyperlink ref="A13:A14" location="'Page 1'!A1" display="'Page 1'!A1" xr:uid="{00000000-0004-0000-1100-000015000000}"/>
    <hyperlink ref="A21" location="'Page 2'!A1" display="'Page 2'!A1" xr:uid="{00000000-0004-0000-1100-000016000000}"/>
    <hyperlink ref="A22" location="'Page 2'!A1" display="'Page 2'!A1" xr:uid="{00000000-0004-0000-1100-000017000000}"/>
    <hyperlink ref="A23" location="'Page 2'!A1" display="'Page 2'!A1" xr:uid="{00000000-0004-0000-1100-000018000000}"/>
    <hyperlink ref="A24" location="'Page 2'!A1" display="'Page 2'!A1" xr:uid="{00000000-0004-0000-1100-000019000000}"/>
    <hyperlink ref="A25" location="'Page 3'!A1" display="'Page 3'!A1" xr:uid="{00000000-0004-0000-1100-00001A000000}"/>
    <hyperlink ref="A34" location="'Page 4'!A1" display="'Page 4'!A1" xr:uid="{00000000-0004-0000-1100-00001B000000}"/>
    <hyperlink ref="A37" location="'Page 5'!A1" display="'Page 5'!A1" xr:uid="{00000000-0004-0000-1100-00001C000000}"/>
    <hyperlink ref="A39" location="'Page 6'!A1" display="'Page 6'!A1" xr:uid="{00000000-0004-0000-1100-00001D000000}"/>
    <hyperlink ref="A79" location="'Page 8'!A1" display="'Page 8'!A1" xr:uid="{00000000-0004-0000-1100-00001E000000}"/>
    <hyperlink ref="A90" location="Supplement!A1" display="Suppl" xr:uid="{00000000-0004-0000-1100-00001F000000}"/>
    <hyperlink ref="A95" location="'Summary Page 1'!A1" display="Summary" xr:uid="{00000000-0004-0000-1100-000020000000}"/>
    <hyperlink ref="A96" location="'Truth in Tax'!A1" display="Truth in Taxation Work Sheet" xr:uid="{00000000-0004-0000-1100-000021000000}"/>
    <hyperlink ref="A103" location="'Fund balances'!A1" display="Fund balances" xr:uid="{00000000-0004-0000-1100-000022000000}"/>
    <hyperlink ref="A117" location="'Data Entry'!A1" display="Data Entry" xr:uid="{00000000-0004-0000-1100-000023000000}"/>
    <hyperlink ref="A175" location="Calculations!A1" display="Calculations" xr:uid="{00000000-0004-0000-1100-000024000000}"/>
    <hyperlink ref="A176" location="'BSA55'!A1" display="BSA55" xr:uid="{00000000-0004-0000-1100-000025000000}"/>
    <hyperlink ref="A15" location="'Page 1'!A1" display="'Page 1'!A1" xr:uid="{00000000-0004-0000-1100-000026000000}"/>
    <hyperlink ref="A16" location="'Page 1'!A1" display="'Page 1'!A1" xr:uid="{00000000-0004-0000-1100-000027000000}"/>
    <hyperlink ref="A18" location="'Page 1'!A1" display="'Page 1'!A1" xr:uid="{00000000-0004-0000-1100-000028000000}"/>
    <hyperlink ref="A20" location="'Page 1'!A1" display="'Page 1'!A1" xr:uid="{00000000-0004-0000-1100-000029000000}"/>
    <hyperlink ref="A11" location="'Page 1'!A1" display="'Page 1'!A1" xr:uid="{00000000-0004-0000-1100-00002A000000}"/>
    <hyperlink ref="A9" location="Cover!A1" display="Cover" xr:uid="{00000000-0004-0000-1100-00002B000000}"/>
    <hyperlink ref="A10" location="Cover!A1" display="Cover" xr:uid="{00000000-0004-0000-1100-00002C000000}"/>
    <hyperlink ref="A26" location="'Page 3'!A1" display="'Page 3'!A1" xr:uid="{00000000-0004-0000-1100-00002D000000}"/>
    <hyperlink ref="A27" location="'Page 3'!A1" display="'Page 3'!A1" xr:uid="{00000000-0004-0000-1100-00002E000000}"/>
    <hyperlink ref="A28" location="'Page 3'!A1" display="'Page 3'!A1" xr:uid="{00000000-0004-0000-1100-00002F000000}"/>
    <hyperlink ref="A29" location="'Page 3'!A1" display="'Page 3'!A1" xr:uid="{00000000-0004-0000-1100-000030000000}"/>
    <hyperlink ref="A30" location="'Page 3'!A1" display="'Page 3'!A1" xr:uid="{00000000-0004-0000-1100-000031000000}"/>
    <hyperlink ref="A31" location="'Page 3'!A1" display="'Page 3'!A1" xr:uid="{00000000-0004-0000-1100-000032000000}"/>
    <hyperlink ref="A33" location="'Page 3'!A1" display="'Page 3'!A1" xr:uid="{00000000-0004-0000-1100-000033000000}"/>
    <hyperlink ref="A35" location="'Page 4'!A1" display="'Page 4'!A1" xr:uid="{00000000-0004-0000-1100-000034000000}"/>
    <hyperlink ref="A36" location="'Page 4'!A1" display="'Page 4'!A1" xr:uid="{00000000-0004-0000-1100-000035000000}"/>
    <hyperlink ref="A38" location="'Page 5'!A1" display="'Page 5'!A1" xr:uid="{00000000-0004-0000-1100-000036000000}"/>
    <hyperlink ref="A40" location="'Page 6'!A1" display="'Page 6'!A1" xr:uid="{00000000-0004-0000-1100-000037000000}"/>
    <hyperlink ref="A41" location="'Page 6'!A1" display="'Page 6'!A1" xr:uid="{00000000-0004-0000-1100-000038000000}"/>
    <hyperlink ref="A42" location="'Page 6'!A1" display="'Page 6'!A1" xr:uid="{00000000-0004-0000-1100-000039000000}"/>
    <hyperlink ref="A43" location="'Page 6'!A1" display="'Page 6'!A1" xr:uid="{00000000-0004-0000-1100-00003A000000}"/>
    <hyperlink ref="A44" location="'Page 6'!A1" display="'Page 6'!A1" xr:uid="{00000000-0004-0000-1100-00003B000000}"/>
    <hyperlink ref="A45" location="'Page 6'!A1" display="'Page 6'!A1" xr:uid="{00000000-0004-0000-1100-00003C000000}"/>
    <hyperlink ref="A46" location="'Page 6'!A1" display="'Page 6'!A1" xr:uid="{00000000-0004-0000-1100-00003D000000}"/>
    <hyperlink ref="A47" location="'Page 6'!A1" display="'Page 6'!A1" xr:uid="{00000000-0004-0000-1100-00003E000000}"/>
    <hyperlink ref="A48" location="'Page 6'!A1" display="'Page 6'!A1" xr:uid="{00000000-0004-0000-1100-00003F000000}"/>
    <hyperlink ref="A49" location="'Page 6'!A1" display="'Page 6'!A1" xr:uid="{00000000-0004-0000-1100-000040000000}"/>
    <hyperlink ref="A50" location="'Page 7'!A1" display="'Page 7'!A1" xr:uid="{00000000-0004-0000-1100-000041000000}"/>
    <hyperlink ref="A51" location="'Page 7'!A1" display="'Page 7'!A1" xr:uid="{00000000-0004-0000-1100-000042000000}"/>
    <hyperlink ref="A52" location="'Page 7'!A1" display="'Page 7'!A1" xr:uid="{00000000-0004-0000-1100-000043000000}"/>
    <hyperlink ref="A53" location="'Page 7'!A1" display="'Page 7'!A1" xr:uid="{00000000-0004-0000-1100-000044000000}"/>
    <hyperlink ref="A54" location="'Page 7'!A1" display="'Page 7'!A1" xr:uid="{00000000-0004-0000-1100-000045000000}"/>
    <hyperlink ref="A56" location="'Page 7'!A1" display="'Page 7'!A1" xr:uid="{00000000-0004-0000-1100-000046000000}"/>
    <hyperlink ref="A57" location="'Page 7'!A1" display="'Page 7'!A1" xr:uid="{00000000-0004-0000-1100-000047000000}"/>
    <hyperlink ref="A58" location="'Page 7'!A1" display="'Page 7'!A1" xr:uid="{00000000-0004-0000-1100-000048000000}"/>
    <hyperlink ref="A59" location="'Page 7'!A1" display="'Page 7'!A1" xr:uid="{00000000-0004-0000-1100-000049000000}"/>
    <hyperlink ref="A60" location="'Page 7'!A1" display="'Page 7'!A1" xr:uid="{00000000-0004-0000-1100-00004A000000}"/>
    <hyperlink ref="A61" location="'Page 7'!A1" display="'Page 7'!A1" xr:uid="{00000000-0004-0000-1100-00004B000000}"/>
    <hyperlink ref="A63" location="'Page 7'!A1" display="'Page 7'!A1" xr:uid="{00000000-0004-0000-1100-00004C000000}"/>
    <hyperlink ref="A64" location="'Page 7'!A1" display="'Page 7'!A1" xr:uid="{00000000-0004-0000-1100-00004D000000}"/>
    <hyperlink ref="A66" location="'Page 7'!A1" display="'Page 7'!A1" xr:uid="{00000000-0004-0000-1100-00004E000000}"/>
    <hyperlink ref="A68" location="'Page 7'!A1" display="'Page 7'!A1" xr:uid="{00000000-0004-0000-1100-00004F000000}"/>
    <hyperlink ref="A69" location="'Page 7'!A1" display="'Page 7'!A1" xr:uid="{00000000-0004-0000-1100-000050000000}"/>
    <hyperlink ref="A70" location="'Page 7'!A1" display="'Page 7'!A1" xr:uid="{00000000-0004-0000-1100-000051000000}"/>
    <hyperlink ref="A71" location="'Page 7'!A1" display="'Page 7'!A1" xr:uid="{00000000-0004-0000-1100-000052000000}"/>
    <hyperlink ref="A72" location="'Page 7'!A1" display="'Page 7'!A1" xr:uid="{00000000-0004-0000-1100-000053000000}"/>
    <hyperlink ref="A73" location="'Page 7'!A1" display="'Page 7'!A1" xr:uid="{00000000-0004-0000-1100-000054000000}"/>
    <hyperlink ref="A74" location="'Page 7'!A1" display="'Page 7'!A1" xr:uid="{00000000-0004-0000-1100-000055000000}"/>
    <hyperlink ref="A75" location="'Page 7'!A1" display="'Page 7'!A1" xr:uid="{00000000-0004-0000-1100-000056000000}"/>
    <hyperlink ref="A77" location="'Page 7'!A1" display="'Page 7'!A1" xr:uid="{00000000-0004-0000-1100-000057000000}"/>
    <hyperlink ref="A78" location="'Page 7'!A1" display="'Page 7'!A1" xr:uid="{00000000-0004-0000-1100-000058000000}"/>
    <hyperlink ref="A81" location="'Page 8'!A1" display="'Page 8'!A1" xr:uid="{00000000-0004-0000-1100-000059000000}"/>
    <hyperlink ref="A83" location="'Page 8'!A1" display="'Page 8'!A1" xr:uid="{00000000-0004-0000-1100-00005A000000}"/>
    <hyperlink ref="A84" location="'Page 8'!A1" display="'Page 8'!A1" xr:uid="{00000000-0004-0000-1100-00005B000000}"/>
    <hyperlink ref="A85" location="'Page 8'!A1" display="'Page 8'!A1" xr:uid="{00000000-0004-0000-1100-00005C000000}"/>
    <hyperlink ref="A87" location="'Page 8'!A1" display="'Page 8'!A1" xr:uid="{00000000-0004-0000-1100-00005D000000}"/>
    <hyperlink ref="A89" location="'Page 8'!A1" display="'Page 8'!A1" xr:uid="{00000000-0004-0000-1100-00005E000000}"/>
    <hyperlink ref="A91" location="Supplement!A1" display="Suppl" xr:uid="{00000000-0004-0000-1100-00005F000000}"/>
    <hyperlink ref="A92" location="Supplement!A1" display="Suppl" xr:uid="{00000000-0004-0000-1100-000060000000}"/>
    <hyperlink ref="A93" location="Supplement!A1" display="Suppl" xr:uid="{00000000-0004-0000-1100-000061000000}"/>
    <hyperlink ref="A94" location="Supplement!A1" display="Suppl" xr:uid="{00000000-0004-0000-1100-000062000000}"/>
    <hyperlink ref="A97" location="'Truth in Tax'!A1" display="Truth in Taxation Work Sheet" xr:uid="{00000000-0004-0000-1100-000063000000}"/>
    <hyperlink ref="A98" location="'Truth in Tax'!A1" display="Truth in Taxation Work Sheet" xr:uid="{00000000-0004-0000-1100-000064000000}"/>
    <hyperlink ref="A99" location="'Truth in Tax'!A1" display="Truth in Taxation Work Sheet" xr:uid="{00000000-0004-0000-1100-000065000000}"/>
    <hyperlink ref="A100" location="'Truth in Tax'!A1" display="Truth in Taxation Work Sheet" xr:uid="{00000000-0004-0000-1100-000066000000}"/>
    <hyperlink ref="A101" location="'Truth in Tax'!A1" display="Truth in Taxation Work Sheet" xr:uid="{00000000-0004-0000-1100-000067000000}"/>
    <hyperlink ref="A102" location="'Truth in Tax'!A1" display="Truth in Taxation Work Sheet" xr:uid="{00000000-0004-0000-1100-000068000000}"/>
    <hyperlink ref="A104" location="'Fund balances'!A1" display="Fund balances" xr:uid="{00000000-0004-0000-1100-000069000000}"/>
    <hyperlink ref="A105" location="'Fund balances'!A1" display="Fund balances" xr:uid="{00000000-0004-0000-1100-00006A000000}"/>
    <hyperlink ref="A106" location="'Fund balances'!A1" display="Fund balances" xr:uid="{00000000-0004-0000-1100-00006B000000}"/>
    <hyperlink ref="A107" location="'Fund balances'!A1" display="Fund balances" xr:uid="{00000000-0004-0000-1100-00006C000000}"/>
    <hyperlink ref="A108" location="'Fund balances'!A1" display="Fund balances" xr:uid="{00000000-0004-0000-1100-00006D000000}"/>
    <hyperlink ref="A109" location="'Fund balances'!A1" display="Fund balances" xr:uid="{00000000-0004-0000-1100-00006E000000}"/>
    <hyperlink ref="A110" location="'Fund balances'!A1" display="Fund balances" xr:uid="{00000000-0004-0000-1100-00006F000000}"/>
    <hyperlink ref="A111" location="'Fund balances'!A1" display="Fund balances" xr:uid="{00000000-0004-0000-1100-000070000000}"/>
    <hyperlink ref="A112" location="'Fund balances'!A1" display="Fund balances" xr:uid="{00000000-0004-0000-1100-000071000000}"/>
    <hyperlink ref="A113" location="'Fund balances'!A1" display="Fund balances" xr:uid="{00000000-0004-0000-1100-000072000000}"/>
    <hyperlink ref="A114" location="'Fund balances'!A1" display="Fund balances" xr:uid="{00000000-0004-0000-1100-000073000000}"/>
    <hyperlink ref="A115" location="'Fund balances'!A1" display="Fund balances" xr:uid="{00000000-0004-0000-1100-000074000000}"/>
    <hyperlink ref="A116" location="'Fund balances'!A1" display="Fund balances" xr:uid="{00000000-0004-0000-1100-000075000000}"/>
    <hyperlink ref="A177" location="'BSA55'!A1" display="BSA55" xr:uid="{00000000-0004-0000-1100-000076000000}"/>
    <hyperlink ref="A178" location="'BSA55'!A1" display="BSA55" xr:uid="{00000000-0004-0000-1100-000077000000}"/>
    <hyperlink ref="A118" location="'Data Entry'!A1" display="Data Entry" xr:uid="{00000000-0004-0000-1100-000078000000}"/>
    <hyperlink ref="A119:A123" location="'Data Entry'!A1" display="Data Entry" xr:uid="{00000000-0004-0000-1100-000079000000}"/>
    <hyperlink ref="A124:A126" location="'Data Entry'!A1" display="Data Entry" xr:uid="{00000000-0004-0000-1100-00007A000000}"/>
    <hyperlink ref="A128" location="'Data Entry'!A1" display="Data Entry" xr:uid="{00000000-0004-0000-1100-00007B000000}"/>
    <hyperlink ref="A129:A137" location="'Data Entry'!A1" display="Data Entry" xr:uid="{00000000-0004-0000-1100-00007C000000}"/>
    <hyperlink ref="A138" location="'Data Entry'!A1" display="Data Entry" xr:uid="{00000000-0004-0000-1100-00007D000000}"/>
    <hyperlink ref="A139:A140" location="'Data Entry'!A1" display="Data Entry" xr:uid="{00000000-0004-0000-1100-00007E000000}"/>
    <hyperlink ref="A141" location="'Data Entry'!A1" display="Data Entry" xr:uid="{00000000-0004-0000-1100-00007F000000}"/>
    <hyperlink ref="A142" location="'Data Entry'!A1" display="Data Entry" xr:uid="{00000000-0004-0000-1100-000080000000}"/>
    <hyperlink ref="A144" location="'Data Entry'!A1" display="Data Entry" xr:uid="{00000000-0004-0000-1100-000081000000}"/>
    <hyperlink ref="A145" location="'Data Entry'!A1" display="Data Entry" xr:uid="{00000000-0004-0000-1100-000082000000}"/>
    <hyperlink ref="A147" location="'Data Entry'!A1" display="Data Entry" xr:uid="{00000000-0004-0000-1100-000083000000}"/>
    <hyperlink ref="A148:A149" location="'Data Entry'!A1" display="Data Entry" xr:uid="{00000000-0004-0000-1100-000084000000}"/>
    <hyperlink ref="A151" location="'Data Entry'!A1" display="Data Entry" xr:uid="{00000000-0004-0000-1100-000085000000}"/>
    <hyperlink ref="A152:A153" location="'Data Entry'!A1" display="Data Entry" xr:uid="{00000000-0004-0000-1100-000086000000}"/>
    <hyperlink ref="A154" location="'Data Entry'!A1" display="Data Entry" xr:uid="{00000000-0004-0000-1100-000087000000}"/>
    <hyperlink ref="A155" location="'Data Entry'!A1" display="Data Entry" xr:uid="{00000000-0004-0000-1100-000088000000}"/>
    <hyperlink ref="A156" location="'Data Entry'!A1" display="Data Entry" xr:uid="{00000000-0004-0000-1100-000089000000}"/>
    <hyperlink ref="A157" location="'Data Entry'!A1" display="Data Entry" xr:uid="{00000000-0004-0000-1100-00008A000000}"/>
    <hyperlink ref="A159" location="'Data Entry'!A1" display="Data Entry" xr:uid="{00000000-0004-0000-1100-00008B000000}"/>
    <hyperlink ref="A161" location="'Data Entry'!A1" display="Data Entry" xr:uid="{00000000-0004-0000-1100-00008C000000}"/>
    <hyperlink ref="A162:A163" location="'Data Entry'!A1" display="Data Entry" xr:uid="{00000000-0004-0000-1100-00008D000000}"/>
    <hyperlink ref="A164" location="'Data Entry'!A1" display="Data Entry" xr:uid="{00000000-0004-0000-1100-00008E000000}"/>
    <hyperlink ref="A165:A166" location="'Data Entry'!A1" display="Data Entry" xr:uid="{00000000-0004-0000-1100-00008F000000}"/>
    <hyperlink ref="A167" location="'Data Entry'!A1" display="Data Entry" xr:uid="{00000000-0004-0000-1100-000090000000}"/>
    <hyperlink ref="A168:A169" location="'Data Entry'!A1" display="Data Entry" xr:uid="{00000000-0004-0000-1100-000091000000}"/>
    <hyperlink ref="A170" location="'Data Entry'!A1" display="Data Entry" xr:uid="{00000000-0004-0000-1100-000092000000}"/>
    <hyperlink ref="A171" location="'Data Entry'!A1" display="Data Entry" xr:uid="{00000000-0004-0000-1100-000093000000}"/>
    <hyperlink ref="A173" location="'Data Entry'!A1" display="Data Entry" xr:uid="{00000000-0004-0000-1100-000094000000}"/>
    <hyperlink ref="A174" location="'Data Entry'!A1" display="Data Entry" xr:uid="{00000000-0004-0000-1100-000095000000}"/>
  </hyperlinks>
  <printOptions horizontalCentered="1"/>
  <pageMargins left="0.25" right="0.25" top="0.25" bottom="0.25" header="0" footer="0.15"/>
  <pageSetup paperSize="5" scale="63" fitToHeight="0" orientation="portrait" r:id="rId20"/>
  <headerFooter alignWithMargins="0">
    <oddFooter>&amp;L&amp;"Times New Roman,Bold"&amp;9Rev. 5/26&amp;K000000 Arizona Department of Education and Auditor General&amp;C&amp;"Times New Roman,Regular"&amp;9&amp;D  &amp;T</oddFooter>
  </headerFooter>
  <rowBreaks count="10" manualBreakCount="10">
    <brk id="10" max="3" man="1"/>
    <brk id="24" max="3" man="1"/>
    <brk id="37" max="3" man="1"/>
    <brk id="49" max="3" man="1"/>
    <brk id="70" max="3" man="1"/>
    <brk id="86" max="3" man="1"/>
    <brk id="97" max="3" man="1"/>
    <brk id="112" max="3" man="1"/>
    <brk id="122" max="3" man="1"/>
    <brk id="165"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codeName="Sheet3">
    <pageSetUpPr fitToPage="1"/>
  </sheetPr>
  <dimension ref="A1:O49"/>
  <sheetViews>
    <sheetView showGridLines="0" topLeftCell="A13" zoomScaleSheetLayoutView="115" workbookViewId="0">
      <selection activeCell="L34" sqref="L34"/>
    </sheetView>
  </sheetViews>
  <sheetFormatPr defaultColWidth="9.81640625" defaultRowHeight="15.6"/>
  <cols>
    <col min="1" max="1" width="16.81640625" style="97" customWidth="1"/>
    <col min="2" max="2" width="19.81640625" style="97" customWidth="1"/>
    <col min="3" max="3" width="3.81640625" style="97" customWidth="1"/>
    <col min="4" max="5" width="5.81640625" style="97" customWidth="1"/>
    <col min="6" max="12" width="11.81640625" style="97" customWidth="1"/>
    <col min="13" max="13" width="6.81640625" style="97" customWidth="1"/>
    <col min="14" max="14" width="3.81640625" style="158" customWidth="1"/>
    <col min="15" max="20" width="9.81640625" style="97" customWidth="1"/>
    <col min="21" max="16384" width="9.81640625" style="97"/>
  </cols>
  <sheetData>
    <row r="1" spans="1:15">
      <c r="A1" s="1266" t="s">
        <v>56</v>
      </c>
      <c r="B1" s="1546" t="str">
        <f>DistrictName</f>
        <v>Stanfield Elementary School District</v>
      </c>
      <c r="C1" s="1604"/>
      <c r="D1" s="1604"/>
      <c r="E1" s="1604"/>
      <c r="F1" s="1266" t="s">
        <v>1</v>
      </c>
      <c r="G1" s="1265" t="str">
        <f>Cover!H1</f>
        <v>Pinal</v>
      </c>
      <c r="H1"/>
      <c r="I1" s="1266" t="s">
        <v>57</v>
      </c>
      <c r="J1" s="1280" t="str">
        <f>CTD</f>
        <v>110424000</v>
      </c>
      <c r="K1" s="148"/>
      <c r="L1" s="1266" t="s">
        <v>16</v>
      </c>
      <c r="M1" s="1602" t="str">
        <f>Cover!C8</f>
        <v>Proposed</v>
      </c>
      <c r="N1" s="1603"/>
      <c r="O1" s="138"/>
    </row>
    <row r="2" spans="1:15" ht="16.5" customHeight="1">
      <c r="A2" s="156" t="s">
        <v>75</v>
      </c>
      <c r="B2" s="156"/>
      <c r="C2" s="156"/>
      <c r="D2" s="1116" t="s">
        <v>76</v>
      </c>
      <c r="E2" s="1116"/>
      <c r="F2" s="1117"/>
      <c r="G2" s="1117"/>
      <c r="H2" s="1117"/>
      <c r="I2" s="1117"/>
      <c r="J2" s="1117"/>
      <c r="K2" s="1117"/>
      <c r="L2" s="1117"/>
      <c r="M2" s="157"/>
    </row>
    <row r="3" spans="1:15" ht="12" customHeight="1">
      <c r="A3" s="159"/>
      <c r="B3" s="96"/>
      <c r="C3" s="96"/>
      <c r="D3" s="160"/>
      <c r="E3" s="103"/>
      <c r="F3" s="161"/>
      <c r="G3" s="161" t="s">
        <v>77</v>
      </c>
      <c r="H3" s="161" t="s">
        <v>78</v>
      </c>
      <c r="I3" s="161"/>
      <c r="J3" s="161"/>
      <c r="K3" s="162" t="s">
        <v>79</v>
      </c>
      <c r="L3" s="162"/>
      <c r="M3" s="163"/>
    </row>
    <row r="4" spans="1:15" ht="12" customHeight="1">
      <c r="A4" s="2" t="s">
        <v>692</v>
      </c>
      <c r="C4" s="96"/>
      <c r="D4" s="164" t="s">
        <v>80</v>
      </c>
      <c r="E4" s="162"/>
      <c r="F4" s="161" t="s">
        <v>81</v>
      </c>
      <c r="G4" s="161" t="s">
        <v>308</v>
      </c>
      <c r="H4" s="161" t="s">
        <v>309</v>
      </c>
      <c r="I4" s="161" t="s">
        <v>82</v>
      </c>
      <c r="J4" s="161" t="s">
        <v>83</v>
      </c>
      <c r="K4" s="5" t="s">
        <v>84</v>
      </c>
      <c r="L4" s="165" t="s">
        <v>85</v>
      </c>
      <c r="M4" s="161" t="s">
        <v>86</v>
      </c>
    </row>
    <row r="5" spans="1:15" ht="12" customHeight="1">
      <c r="A5" s="1296" t="s">
        <v>87</v>
      </c>
      <c r="C5" s="96"/>
      <c r="D5" s="161" t="s">
        <v>84</v>
      </c>
      <c r="E5" s="5" t="s">
        <v>85</v>
      </c>
      <c r="F5" s="166"/>
      <c r="G5" s="166"/>
      <c r="H5" s="161" t="s">
        <v>88</v>
      </c>
      <c r="I5" s="161"/>
      <c r="J5" s="161"/>
      <c r="K5" s="5" t="s">
        <v>3</v>
      </c>
      <c r="L5" s="165" t="s">
        <v>3</v>
      </c>
      <c r="M5" s="161" t="s">
        <v>89</v>
      </c>
    </row>
    <row r="6" spans="1:15" ht="12" customHeight="1">
      <c r="A6" s="167"/>
      <c r="B6" s="168"/>
      <c r="C6" s="169"/>
      <c r="D6" s="161" t="s">
        <v>3</v>
      </c>
      <c r="E6" s="171" t="s">
        <v>3</v>
      </c>
      <c r="F6" s="170" t="s">
        <v>90</v>
      </c>
      <c r="G6" s="170" t="s">
        <v>91</v>
      </c>
      <c r="H6" s="170" t="s">
        <v>92</v>
      </c>
      <c r="I6" s="170">
        <v>6600</v>
      </c>
      <c r="J6" s="170" t="s">
        <v>93</v>
      </c>
      <c r="K6" s="1354">
        <f>PriorFiscalYear</f>
        <v>2026</v>
      </c>
      <c r="L6" s="165">
        <f>Cover!E3</f>
        <v>2027</v>
      </c>
      <c r="M6" s="161" t="s">
        <v>94</v>
      </c>
    </row>
    <row r="7" spans="1:15" ht="11.25" customHeight="1">
      <c r="A7" s="1497" t="s">
        <v>95</v>
      </c>
      <c r="B7" s="96"/>
      <c r="C7" s="96"/>
      <c r="D7" s="1083"/>
      <c r="E7" s="1082"/>
      <c r="F7" s="325"/>
      <c r="G7" s="325"/>
      <c r="H7" s="325"/>
      <c r="I7" s="325"/>
      <c r="J7" s="325"/>
      <c r="K7" s="1524"/>
      <c r="L7" s="1524"/>
      <c r="M7" s="1083"/>
      <c r="N7" s="3"/>
    </row>
    <row r="8" spans="1:15" ht="11.25" customHeight="1">
      <c r="A8" s="101" t="s">
        <v>96</v>
      </c>
      <c r="B8" s="96"/>
      <c r="C8" s="175" t="s">
        <v>6</v>
      </c>
      <c r="D8" s="1148">
        <f>[1]!F001P100F1000Personnel</f>
        <v>0</v>
      </c>
      <c r="E8" s="1149"/>
      <c r="F8" s="13">
        <v>832674</v>
      </c>
      <c r="G8" s="9">
        <v>196968</v>
      </c>
      <c r="H8" s="9">
        <v>16200</v>
      </c>
      <c r="I8" s="9">
        <v>45000</v>
      </c>
      <c r="J8" s="9">
        <v>200</v>
      </c>
      <c r="K8" s="1165">
        <f>[1]!F001P100F1000</f>
        <v>1091042</v>
      </c>
      <c r="L8" s="1165">
        <f>SUM(F8:J8)</f>
        <v>1091042</v>
      </c>
      <c r="M8" s="1151">
        <f>IF(K8=L8,0,IF(K8&gt;0,(L8-K8)/K8,""))</f>
        <v>0</v>
      </c>
      <c r="N8" s="177" t="s">
        <v>6</v>
      </c>
    </row>
    <row r="9" spans="1:15" ht="13.5" customHeight="1">
      <c r="A9" s="101" t="s">
        <v>968</v>
      </c>
      <c r="B9" s="96"/>
      <c r="C9" s="175" t="s">
        <v>42</v>
      </c>
      <c r="D9" s="1083"/>
      <c r="E9" s="1082"/>
      <c r="F9" s="325"/>
      <c r="G9" s="325"/>
      <c r="H9" s="325"/>
      <c r="I9" s="325"/>
      <c r="J9" s="325"/>
      <c r="K9" s="1524"/>
      <c r="L9" s="1524"/>
      <c r="M9" s="1083"/>
      <c r="N9" s="177" t="s">
        <v>42</v>
      </c>
    </row>
    <row r="10" spans="1:15" ht="11.25" customHeight="1">
      <c r="A10" s="101" t="s">
        <v>97</v>
      </c>
      <c r="B10" s="96"/>
      <c r="C10" s="175" t="s">
        <v>8</v>
      </c>
      <c r="D10" s="1148">
        <f>[1]!F001P100F2100Personnel</f>
        <v>0</v>
      </c>
      <c r="E10" s="1149"/>
      <c r="F10" s="13">
        <v>10000</v>
      </c>
      <c r="G10" s="9">
        <v>4000</v>
      </c>
      <c r="H10" s="9">
        <v>10100</v>
      </c>
      <c r="I10" s="9">
        <v>100</v>
      </c>
      <c r="J10" s="9"/>
      <c r="K10" s="1165">
        <f>[1]!F001P100F2100</f>
        <v>24200</v>
      </c>
      <c r="L10" s="1165">
        <f>SUM(F10:J10)</f>
        <v>24200</v>
      </c>
      <c r="M10" s="1151">
        <f>IF(K10=L10,0,IF(K10&gt;0,(L10-K10)/K10,""))</f>
        <v>0</v>
      </c>
      <c r="N10" s="177" t="s">
        <v>8</v>
      </c>
    </row>
    <row r="11" spans="1:15" ht="11.25" customHeight="1">
      <c r="A11" s="101" t="s">
        <v>969</v>
      </c>
      <c r="B11" s="96"/>
      <c r="C11" s="175" t="s">
        <v>22</v>
      </c>
      <c r="D11" s="1152">
        <f>[1]!F001P100F2200Personnel</f>
        <v>0</v>
      </c>
      <c r="E11" s="1153"/>
      <c r="F11" s="10"/>
      <c r="G11" s="10"/>
      <c r="H11" s="10">
        <v>40000</v>
      </c>
      <c r="I11" s="10">
        <v>3500</v>
      </c>
      <c r="J11" s="10">
        <v>600</v>
      </c>
      <c r="K11" s="331">
        <f>[1]!F001P100F2200</f>
        <v>44100</v>
      </c>
      <c r="L11" s="1525">
        <f t="shared" ref="L11:L21" si="0">SUM(F11:J11)</f>
        <v>44100</v>
      </c>
      <c r="M11" s="1155">
        <f t="shared" ref="M11:M22" si="1">IF(K11=L11,0,IF(K11&gt;0,(L11-K11)/K11,""))</f>
        <v>0</v>
      </c>
      <c r="N11" s="177" t="s">
        <v>22</v>
      </c>
    </row>
    <row r="12" spans="1:15" ht="11.25" customHeight="1">
      <c r="A12" s="101" t="s">
        <v>970</v>
      </c>
      <c r="B12" s="96"/>
      <c r="C12" s="180" t="s">
        <v>40</v>
      </c>
      <c r="D12" s="1152">
        <f>[1]!F001P100F2300Personnel</f>
        <v>0</v>
      </c>
      <c r="E12" s="1153"/>
      <c r="F12" s="10">
        <v>100000</v>
      </c>
      <c r="G12" s="10">
        <v>30000</v>
      </c>
      <c r="H12" s="10">
        <v>6000</v>
      </c>
      <c r="I12" s="10">
        <v>5000</v>
      </c>
      <c r="J12" s="10">
        <v>6000</v>
      </c>
      <c r="K12" s="403">
        <f>[1]!F001P100F2300</f>
        <v>147000</v>
      </c>
      <c r="L12" s="325">
        <f t="shared" si="0"/>
        <v>147000</v>
      </c>
      <c r="M12" s="1157">
        <f t="shared" si="1"/>
        <v>0</v>
      </c>
      <c r="N12" s="177" t="s">
        <v>40</v>
      </c>
    </row>
    <row r="13" spans="1:15" ht="11.25" customHeight="1">
      <c r="A13" s="101" t="s">
        <v>971</v>
      </c>
      <c r="B13" s="96"/>
      <c r="C13" s="175" t="s">
        <v>98</v>
      </c>
      <c r="D13" s="1152">
        <f>[1]!F001P100F2400Personnel</f>
        <v>0</v>
      </c>
      <c r="E13" s="1153"/>
      <c r="F13" s="10">
        <f>F12</f>
        <v>100000</v>
      </c>
      <c r="G13" s="10">
        <v>30000</v>
      </c>
      <c r="H13" s="10">
        <v>25200</v>
      </c>
      <c r="I13" s="10">
        <v>8500</v>
      </c>
      <c r="J13" s="10">
        <v>1000</v>
      </c>
      <c r="K13" s="403">
        <f>[1]!F001P100F2400</f>
        <v>164700</v>
      </c>
      <c r="L13" s="325">
        <f t="shared" si="0"/>
        <v>164700</v>
      </c>
      <c r="M13" s="1157">
        <f t="shared" si="1"/>
        <v>0</v>
      </c>
      <c r="N13" s="177" t="s">
        <v>98</v>
      </c>
    </row>
    <row r="14" spans="1:15" ht="11.25" customHeight="1">
      <c r="A14" s="101" t="s">
        <v>972</v>
      </c>
      <c r="B14" s="96"/>
      <c r="C14" s="175" t="s">
        <v>99</v>
      </c>
      <c r="D14" s="1152">
        <f>[1]!F001P100F2500Personnel</f>
        <v>0</v>
      </c>
      <c r="E14" s="1153"/>
      <c r="F14" s="10">
        <v>325000</v>
      </c>
      <c r="G14" s="10">
        <v>90000</v>
      </c>
      <c r="H14" s="10">
        <v>85000</v>
      </c>
      <c r="I14" s="10">
        <v>18500</v>
      </c>
      <c r="J14" s="10">
        <v>10000</v>
      </c>
      <c r="K14" s="403">
        <f>[1]!F001P100F2500</f>
        <v>528500</v>
      </c>
      <c r="L14" s="325">
        <f t="shared" si="0"/>
        <v>528500</v>
      </c>
      <c r="M14" s="1157">
        <f t="shared" si="1"/>
        <v>0</v>
      </c>
      <c r="N14" s="177" t="s">
        <v>99</v>
      </c>
    </row>
    <row r="15" spans="1:15" ht="11.25" customHeight="1">
      <c r="A15" s="101" t="s">
        <v>973</v>
      </c>
      <c r="B15" s="96"/>
      <c r="C15" s="175" t="s">
        <v>100</v>
      </c>
      <c r="D15" s="1152">
        <f>[1]!F001P100F2600Personnel</f>
        <v>0</v>
      </c>
      <c r="E15" s="1153"/>
      <c r="F15" s="10">
        <v>225561</v>
      </c>
      <c r="G15" s="10">
        <v>81813</v>
      </c>
      <c r="H15" s="10">
        <v>175000</v>
      </c>
      <c r="I15" s="10">
        <v>250000</v>
      </c>
      <c r="J15" s="10"/>
      <c r="K15" s="403">
        <f>[1]!F001P100F2600</f>
        <v>732374</v>
      </c>
      <c r="L15" s="325">
        <f t="shared" si="0"/>
        <v>732374</v>
      </c>
      <c r="M15" s="1157">
        <f t="shared" si="1"/>
        <v>0</v>
      </c>
      <c r="N15" s="177" t="s">
        <v>100</v>
      </c>
    </row>
    <row r="16" spans="1:15" ht="11.25" customHeight="1">
      <c r="A16" s="101" t="s">
        <v>101</v>
      </c>
      <c r="B16" s="96"/>
      <c r="C16" s="175" t="s">
        <v>102</v>
      </c>
      <c r="D16" s="1152">
        <f>[1]!F001P100F2900Personnel</f>
        <v>0</v>
      </c>
      <c r="E16" s="1153"/>
      <c r="F16" s="10"/>
      <c r="G16" s="10"/>
      <c r="H16" s="10"/>
      <c r="I16" s="10"/>
      <c r="J16" s="10"/>
      <c r="K16" s="403">
        <f>[1]!F001P100F2900</f>
        <v>0</v>
      </c>
      <c r="L16" s="325">
        <f t="shared" si="0"/>
        <v>0</v>
      </c>
      <c r="M16" s="1157">
        <f t="shared" si="1"/>
        <v>0</v>
      </c>
      <c r="N16" s="177" t="s">
        <v>102</v>
      </c>
    </row>
    <row r="17" spans="1:14" ht="11.25" customHeight="1">
      <c r="A17" s="101" t="s">
        <v>974</v>
      </c>
      <c r="B17" s="96"/>
      <c r="C17" s="180" t="s">
        <v>103</v>
      </c>
      <c r="D17" s="1152">
        <f>[1]!F001P100F3000Personnel</f>
        <v>0</v>
      </c>
      <c r="E17" s="1153"/>
      <c r="F17" s="10"/>
      <c r="G17" s="10"/>
      <c r="H17" s="10"/>
      <c r="I17" s="10">
        <v>16000</v>
      </c>
      <c r="J17" s="10"/>
      <c r="K17" s="403">
        <f>[1]!F001P100F3000</f>
        <v>16000</v>
      </c>
      <c r="L17" s="325">
        <f t="shared" si="0"/>
        <v>16000</v>
      </c>
      <c r="M17" s="1157">
        <f t="shared" si="1"/>
        <v>0</v>
      </c>
      <c r="N17" s="177" t="s">
        <v>103</v>
      </c>
    </row>
    <row r="18" spans="1:14" ht="11.25" customHeight="1">
      <c r="A18" s="1497" t="s">
        <v>1065</v>
      </c>
      <c r="B18" s="96"/>
      <c r="C18" s="181" t="s">
        <v>104</v>
      </c>
      <c r="D18" s="1152">
        <f>[1]!F001P610Personnel</f>
        <v>0</v>
      </c>
      <c r="E18" s="1153"/>
      <c r="F18" s="9">
        <v>8000</v>
      </c>
      <c r="G18" s="9">
        <v>1624</v>
      </c>
      <c r="H18" s="9"/>
      <c r="I18" s="9"/>
      <c r="J18" s="9"/>
      <c r="K18" s="331">
        <f>[1]!F001P610</f>
        <v>9624</v>
      </c>
      <c r="L18" s="325">
        <f t="shared" si="0"/>
        <v>9624</v>
      </c>
      <c r="M18" s="1155">
        <f t="shared" si="1"/>
        <v>0</v>
      </c>
      <c r="N18" s="177" t="s">
        <v>104</v>
      </c>
    </row>
    <row r="19" spans="1:14" ht="11.25" customHeight="1">
      <c r="A19" s="1497" t="s">
        <v>1034</v>
      </c>
      <c r="B19" s="96"/>
      <c r="C19" s="182" t="s">
        <v>105</v>
      </c>
      <c r="D19" s="1152">
        <f>[1]!F001P620Personnel</f>
        <v>0</v>
      </c>
      <c r="E19" s="1153"/>
      <c r="F19" s="9">
        <v>10700</v>
      </c>
      <c r="G19" s="1534">
        <v>2000</v>
      </c>
      <c r="H19" s="9">
        <v>3550</v>
      </c>
      <c r="I19" s="9">
        <v>6650</v>
      </c>
      <c r="J19" s="9">
        <v>200</v>
      </c>
      <c r="K19" s="331">
        <f>[1]!F001P620</f>
        <v>23100</v>
      </c>
      <c r="L19" s="325">
        <f t="shared" si="0"/>
        <v>23100</v>
      </c>
      <c r="M19" s="1155">
        <f t="shared" si="1"/>
        <v>0</v>
      </c>
      <c r="N19" s="177" t="s">
        <v>105</v>
      </c>
    </row>
    <row r="20" spans="1:14" ht="11.25" customHeight="1">
      <c r="A20" s="1497" t="s">
        <v>975</v>
      </c>
      <c r="B20" s="96"/>
      <c r="C20" s="183" t="s">
        <v>106</v>
      </c>
      <c r="D20" s="1152">
        <f>[1]!F001P630Personnel</f>
        <v>0</v>
      </c>
      <c r="E20" s="1153"/>
      <c r="F20" s="88"/>
      <c r="G20" s="1526"/>
      <c r="H20" s="1527"/>
      <c r="I20" s="13"/>
      <c r="J20" s="13"/>
      <c r="K20" s="331">
        <f>[1]!F001P630</f>
        <v>0</v>
      </c>
      <c r="L20" s="325">
        <f t="shared" si="0"/>
        <v>0</v>
      </c>
      <c r="M20" s="1155">
        <f t="shared" si="1"/>
        <v>0</v>
      </c>
      <c r="N20" s="184" t="s">
        <v>106</v>
      </c>
    </row>
    <row r="21" spans="1:14" ht="11.25" customHeight="1">
      <c r="A21" s="1498" t="s">
        <v>976</v>
      </c>
      <c r="B21" s="1305"/>
      <c r="C21" s="185" t="s">
        <v>107</v>
      </c>
      <c r="D21" s="186">
        <f>[1]!F001P700800900Personnel</f>
        <v>0</v>
      </c>
      <c r="E21" s="14"/>
      <c r="F21" s="12"/>
      <c r="G21" s="13"/>
      <c r="H21" s="12"/>
      <c r="I21" s="12"/>
      <c r="J21" s="12"/>
      <c r="K21" s="403">
        <f>[1]!F001P700800900</f>
        <v>0</v>
      </c>
      <c r="L21" s="325">
        <f t="shared" si="0"/>
        <v>0</v>
      </c>
      <c r="M21" s="1157">
        <f t="shared" si="1"/>
        <v>0</v>
      </c>
      <c r="N21" s="177" t="s">
        <v>107</v>
      </c>
    </row>
    <row r="22" spans="1:14" ht="11.25" customHeight="1">
      <c r="A22" s="187" t="s">
        <v>977</v>
      </c>
      <c r="B22" s="169"/>
      <c r="C22" s="188" t="s">
        <v>108</v>
      </c>
      <c r="D22" s="1158">
        <f>SUM(D8:D21)</f>
        <v>0</v>
      </c>
      <c r="E22" s="186">
        <f t="shared" ref="E22:J22" si="2">E8+SUM(E10:E21)</f>
        <v>0</v>
      </c>
      <c r="F22" s="320">
        <f t="shared" si="2"/>
        <v>1611935</v>
      </c>
      <c r="G22" s="320">
        <f t="shared" si="2"/>
        <v>436405</v>
      </c>
      <c r="H22" s="320">
        <f t="shared" si="2"/>
        <v>361050</v>
      </c>
      <c r="I22" s="320">
        <f t="shared" si="2"/>
        <v>353250</v>
      </c>
      <c r="J22" s="320">
        <f t="shared" si="2"/>
        <v>18000</v>
      </c>
      <c r="K22" s="321">
        <f>SUM(K8:K21)</f>
        <v>2780640</v>
      </c>
      <c r="L22" s="321">
        <f>SUM(L8:L21)</f>
        <v>2780640</v>
      </c>
      <c r="M22" s="1160">
        <f t="shared" si="1"/>
        <v>0</v>
      </c>
      <c r="N22" s="177" t="s">
        <v>108</v>
      </c>
    </row>
    <row r="23" spans="1:14" ht="11.25" customHeight="1">
      <c r="A23" s="1499" t="s">
        <v>978</v>
      </c>
      <c r="B23" s="96"/>
      <c r="C23" s="175"/>
      <c r="D23" s="1083"/>
      <c r="E23" s="1082"/>
      <c r="F23" s="325"/>
      <c r="G23" s="325"/>
      <c r="H23" s="325"/>
      <c r="I23" s="325"/>
      <c r="J23" s="325"/>
      <c r="K23" s="1524"/>
      <c r="L23" s="1524"/>
      <c r="M23" s="1083"/>
      <c r="N23" s="177"/>
    </row>
    <row r="24" spans="1:14" ht="11.25" customHeight="1">
      <c r="A24" s="101" t="s">
        <v>96</v>
      </c>
      <c r="B24" s="96"/>
      <c r="C24" s="191" t="s">
        <v>109</v>
      </c>
      <c r="D24" s="1148">
        <f>[1]!F001P200F1000Personnel</f>
        <v>0</v>
      </c>
      <c r="E24" s="1149"/>
      <c r="F24" s="9">
        <v>220000</v>
      </c>
      <c r="G24" s="9">
        <v>70000</v>
      </c>
      <c r="H24" s="9">
        <v>30000</v>
      </c>
      <c r="I24" s="9">
        <v>12000</v>
      </c>
      <c r="J24" s="13"/>
      <c r="K24" s="1165">
        <f>[1]!F001P200F1000</f>
        <v>332000</v>
      </c>
      <c r="L24" s="1165">
        <f>SUM(F24:J24)</f>
        <v>332000</v>
      </c>
      <c r="M24" s="1151">
        <f>IF(K24=L24,0,IF(K24&gt;0,(L24-K24)/K24,""))</f>
        <v>0</v>
      </c>
      <c r="N24" s="177" t="s">
        <v>109</v>
      </c>
    </row>
    <row r="25" spans="1:14" ht="11.25" customHeight="1">
      <c r="A25" s="101" t="s">
        <v>968</v>
      </c>
      <c r="B25" s="96"/>
      <c r="C25" s="175"/>
      <c r="D25" s="1083"/>
      <c r="E25" s="1082"/>
      <c r="F25" s="325"/>
      <c r="G25" s="325"/>
      <c r="H25" s="325"/>
      <c r="I25" s="325"/>
      <c r="J25" s="325"/>
      <c r="K25" s="1524"/>
      <c r="L25" s="1524"/>
      <c r="M25" s="1083"/>
      <c r="N25" s="177" t="s">
        <v>42</v>
      </c>
    </row>
    <row r="26" spans="1:14" ht="11.25" customHeight="1">
      <c r="A26" s="101" t="s">
        <v>97</v>
      </c>
      <c r="B26" s="96"/>
      <c r="C26" s="175" t="s">
        <v>110</v>
      </c>
      <c r="D26" s="1148">
        <f>[1]!F001P200F2100Personnel</f>
        <v>0</v>
      </c>
      <c r="E26" s="1149"/>
      <c r="F26" s="9">
        <v>10000</v>
      </c>
      <c r="G26" s="9">
        <v>2375</v>
      </c>
      <c r="H26" s="9">
        <v>155000</v>
      </c>
      <c r="I26" s="9">
        <v>100</v>
      </c>
      <c r="J26" s="9">
        <v>500</v>
      </c>
      <c r="K26" s="1165">
        <f>[1]!F001P200F2100</f>
        <v>167975</v>
      </c>
      <c r="L26" s="1165">
        <f>SUM(F26:J26)</f>
        <v>167975</v>
      </c>
      <c r="M26" s="1151">
        <f>IF(K26=L26,0,IF(K26&gt;0,(L26-K26)/K26,""))</f>
        <v>0</v>
      </c>
      <c r="N26" s="177" t="s">
        <v>110</v>
      </c>
    </row>
    <row r="27" spans="1:14" ht="11.25" customHeight="1">
      <c r="A27" s="101" t="s">
        <v>969</v>
      </c>
      <c r="B27" s="96"/>
      <c r="C27" s="175" t="s">
        <v>111</v>
      </c>
      <c r="D27" s="1152">
        <f>[1]!F001P200F2200Personnel</f>
        <v>0</v>
      </c>
      <c r="E27" s="1153"/>
      <c r="F27" s="10">
        <v>110000</v>
      </c>
      <c r="G27" s="10">
        <v>30000</v>
      </c>
      <c r="H27" s="10">
        <v>10000</v>
      </c>
      <c r="I27" s="10">
        <v>4000</v>
      </c>
      <c r="J27" s="10">
        <v>1500</v>
      </c>
      <c r="K27" s="331">
        <f>[1]!F001P200F2200</f>
        <v>155500</v>
      </c>
      <c r="L27" s="1525">
        <f t="shared" ref="L27:L33" si="3">SUM(F27:J27)</f>
        <v>155500</v>
      </c>
      <c r="M27" s="1155">
        <f t="shared" ref="M27:M34" si="4">IF(K27=L27,0,IF(K27&gt;0,(L27-K27)/K27,""))</f>
        <v>0</v>
      </c>
      <c r="N27" s="177" t="s">
        <v>111</v>
      </c>
    </row>
    <row r="28" spans="1:14" ht="11.25" customHeight="1">
      <c r="A28" s="101" t="s">
        <v>970</v>
      </c>
      <c r="B28" s="96"/>
      <c r="C28" s="175" t="s">
        <v>112</v>
      </c>
      <c r="D28" s="1152">
        <f>[1]!F001P200F2300Personnel</f>
        <v>0</v>
      </c>
      <c r="E28" s="1153"/>
      <c r="F28" s="10"/>
      <c r="G28" s="10"/>
      <c r="H28" s="10">
        <v>42000</v>
      </c>
      <c r="I28" s="10"/>
      <c r="J28" s="10"/>
      <c r="K28" s="403">
        <f>[1]!F001P200F2300</f>
        <v>42000</v>
      </c>
      <c r="L28" s="325">
        <f t="shared" si="3"/>
        <v>42000</v>
      </c>
      <c r="M28" s="1157">
        <f t="shared" si="4"/>
        <v>0</v>
      </c>
      <c r="N28" s="177" t="s">
        <v>112</v>
      </c>
    </row>
    <row r="29" spans="1:14" ht="11.25" customHeight="1">
      <c r="A29" s="101" t="s">
        <v>971</v>
      </c>
      <c r="B29" s="96"/>
      <c r="C29" s="175" t="s">
        <v>113</v>
      </c>
      <c r="D29" s="1152">
        <f>[1]!F001P200F2400Personnel</f>
        <v>0</v>
      </c>
      <c r="E29" s="1153"/>
      <c r="F29" s="10"/>
      <c r="G29" s="10"/>
      <c r="H29" s="10">
        <v>1200</v>
      </c>
      <c r="I29" s="10">
        <v>200</v>
      </c>
      <c r="J29" s="10"/>
      <c r="K29" s="403">
        <f>[1]!F001P200F2400</f>
        <v>1400</v>
      </c>
      <c r="L29" s="325">
        <f t="shared" si="3"/>
        <v>1400</v>
      </c>
      <c r="M29" s="1157">
        <f t="shared" si="4"/>
        <v>0</v>
      </c>
      <c r="N29" s="177" t="s">
        <v>113</v>
      </c>
    </row>
    <row r="30" spans="1:14" ht="11.25" customHeight="1">
      <c r="A30" s="101" t="s">
        <v>972</v>
      </c>
      <c r="B30" s="96"/>
      <c r="C30" s="175" t="s">
        <v>114</v>
      </c>
      <c r="D30" s="1152">
        <f>[1]!F001P200F2500Personnel</f>
        <v>0</v>
      </c>
      <c r="E30" s="1153"/>
      <c r="F30" s="12"/>
      <c r="G30" s="12"/>
      <c r="H30" s="12"/>
      <c r="I30" s="12"/>
      <c r="J30" s="12"/>
      <c r="K30" s="403">
        <f>[1]!F001P200F2500</f>
        <v>0</v>
      </c>
      <c r="L30" s="325">
        <f>SUM(F30:J30)</f>
        <v>0</v>
      </c>
      <c r="M30" s="1157">
        <f t="shared" si="4"/>
        <v>0</v>
      </c>
      <c r="N30" s="177" t="s">
        <v>114</v>
      </c>
    </row>
    <row r="31" spans="1:14" ht="11.25" customHeight="1">
      <c r="A31" s="101" t="s">
        <v>973</v>
      </c>
      <c r="B31" s="96"/>
      <c r="C31" s="175" t="s">
        <v>115</v>
      </c>
      <c r="D31" s="1152">
        <f>[1]!F001P200F2600Personnel</f>
        <v>0</v>
      </c>
      <c r="E31" s="1153"/>
      <c r="F31" s="12"/>
      <c r="G31" s="12"/>
      <c r="H31" s="12"/>
      <c r="I31" s="12"/>
      <c r="J31" s="12"/>
      <c r="K31" s="403">
        <f>[1]!F001P200F2600</f>
        <v>0</v>
      </c>
      <c r="L31" s="325">
        <f t="shared" si="3"/>
        <v>0</v>
      </c>
      <c r="M31" s="1157">
        <f t="shared" si="4"/>
        <v>0</v>
      </c>
      <c r="N31" s="177" t="s">
        <v>115</v>
      </c>
    </row>
    <row r="32" spans="1:14" ht="11.25" customHeight="1">
      <c r="A32" s="101" t="s">
        <v>101</v>
      </c>
      <c r="B32" s="96"/>
      <c r="C32" s="175" t="s">
        <v>116</v>
      </c>
      <c r="D32" s="1152">
        <f>[1]!F001P200F2900Personnel</f>
        <v>0</v>
      </c>
      <c r="E32" s="1153"/>
      <c r="F32" s="12"/>
      <c r="G32" s="12"/>
      <c r="H32" s="12"/>
      <c r="I32" s="12"/>
      <c r="J32" s="12"/>
      <c r="K32" s="403">
        <f>[1]!F001P200F2900</f>
        <v>0</v>
      </c>
      <c r="L32" s="325">
        <f t="shared" si="3"/>
        <v>0</v>
      </c>
      <c r="M32" s="1157">
        <f t="shared" si="4"/>
        <v>0</v>
      </c>
      <c r="N32" s="177" t="s">
        <v>116</v>
      </c>
    </row>
    <row r="33" spans="1:14" ht="11.25" customHeight="1">
      <c r="A33" s="101" t="s">
        <v>974</v>
      </c>
      <c r="B33" s="96"/>
      <c r="C33" s="175" t="s">
        <v>117</v>
      </c>
      <c r="D33" s="1152">
        <f>[1]!F001P200F3000Personnel</f>
        <v>0</v>
      </c>
      <c r="E33" s="1153"/>
      <c r="F33" s="12"/>
      <c r="G33" s="12"/>
      <c r="H33" s="12"/>
      <c r="I33" s="12"/>
      <c r="J33" s="12"/>
      <c r="K33" s="403">
        <f>[1]!F001P200F3000</f>
        <v>0</v>
      </c>
      <c r="L33" s="325">
        <f t="shared" si="3"/>
        <v>0</v>
      </c>
      <c r="M33" s="1157">
        <f t="shared" si="4"/>
        <v>0</v>
      </c>
      <c r="N33" s="177" t="s">
        <v>117</v>
      </c>
    </row>
    <row r="34" spans="1:14" ht="11.25" customHeight="1">
      <c r="A34" s="187" t="s">
        <v>118</v>
      </c>
      <c r="B34" s="169"/>
      <c r="C34" s="188" t="s">
        <v>119</v>
      </c>
      <c r="D34" s="186">
        <f>SUM(D24:D33)</f>
        <v>0</v>
      </c>
      <c r="E34" s="186">
        <f t="shared" ref="E34:J34" si="5">E24+SUM(E26:E33)</f>
        <v>0</v>
      </c>
      <c r="F34" s="320">
        <f t="shared" si="5"/>
        <v>340000</v>
      </c>
      <c r="G34" s="320">
        <f t="shared" si="5"/>
        <v>102375</v>
      </c>
      <c r="H34" s="320">
        <f t="shared" si="5"/>
        <v>238200</v>
      </c>
      <c r="I34" s="320">
        <f t="shared" si="5"/>
        <v>16300</v>
      </c>
      <c r="J34" s="320">
        <f t="shared" si="5"/>
        <v>2000</v>
      </c>
      <c r="K34" s="403">
        <f>SUM(K24:K33)</f>
        <v>698875</v>
      </c>
      <c r="L34" s="320">
        <f>SUM(L24:L33)</f>
        <v>698875</v>
      </c>
      <c r="M34" s="1157">
        <f t="shared" si="4"/>
        <v>0</v>
      </c>
      <c r="N34" s="177" t="s">
        <v>119</v>
      </c>
    </row>
    <row r="35" spans="1:14" ht="11.25" customHeight="1">
      <c r="A35" s="1497" t="s">
        <v>979</v>
      </c>
      <c r="B35" s="96"/>
      <c r="C35" s="175" t="s">
        <v>120</v>
      </c>
      <c r="D35" s="1158">
        <f>[1]!F001P400Personnel</f>
        <v>0</v>
      </c>
      <c r="E35" s="1161"/>
      <c r="F35" s="1533">
        <v>267408</v>
      </c>
      <c r="G35" s="1533">
        <v>78770</v>
      </c>
      <c r="H35" s="1533">
        <v>27500</v>
      </c>
      <c r="I35" s="1533">
        <v>99000</v>
      </c>
      <c r="J35" s="74"/>
      <c r="K35" s="1530">
        <f>'[1]Page 1'!$L$35</f>
        <v>472678</v>
      </c>
      <c r="L35" s="325">
        <f>SUM(F35:J35)</f>
        <v>472678</v>
      </c>
      <c r="M35" s="1160">
        <f>IF(K35=L35,0,IF(K35&gt;0,(L35-K35)/K35,""))</f>
        <v>0</v>
      </c>
      <c r="N35" s="177" t="s">
        <v>120</v>
      </c>
    </row>
    <row r="36" spans="1:14" ht="11.25" customHeight="1">
      <c r="A36" s="1500" t="s">
        <v>1066</v>
      </c>
      <c r="B36" s="99"/>
      <c r="C36" s="192"/>
      <c r="D36" s="1083"/>
      <c r="E36" s="1083"/>
      <c r="F36" s="1524"/>
      <c r="G36" s="1524"/>
      <c r="H36" s="1524"/>
      <c r="I36" s="1524"/>
      <c r="J36" s="1524"/>
      <c r="K36" s="1524"/>
      <c r="L36" s="1524"/>
      <c r="M36" s="1083"/>
      <c r="N36" s="177"/>
    </row>
    <row r="37" spans="1:14" ht="11.25" customHeight="1">
      <c r="A37" s="187" t="s">
        <v>121</v>
      </c>
      <c r="B37" s="169"/>
      <c r="C37" s="188" t="s">
        <v>122</v>
      </c>
      <c r="D37" s="1148">
        <f>[2]!DesegFTEPY</f>
        <v>0</v>
      </c>
      <c r="E37" s="1148">
        <f>[2]!DesegFTEBY</f>
        <v>0</v>
      </c>
      <c r="F37" s="1165">
        <f>[2]!DesegTotalMOO6100</f>
        <v>0</v>
      </c>
      <c r="G37" s="1165">
        <f>[2]!DesegTotalMOO6200</f>
        <v>0</v>
      </c>
      <c r="H37" s="1165">
        <f>[2]!DesegTotalMOO630064006500</f>
        <v>0</v>
      </c>
      <c r="I37" s="1165">
        <f>[2]!DesegTotalMOO6600</f>
        <v>0</v>
      </c>
      <c r="J37" s="1165">
        <f>[2]!DesegTotalMOO6800</f>
        <v>0</v>
      </c>
      <c r="K37" s="1165">
        <f>[2]!DesegTotalMOPY</f>
        <v>0</v>
      </c>
      <c r="L37" s="1165">
        <f>[2]!DesegTotalMOBY</f>
        <v>0</v>
      </c>
      <c r="M37" s="1151">
        <f>[2]!DesegTotalMOPercent</f>
        <v>0</v>
      </c>
      <c r="N37" s="177" t="s">
        <v>122</v>
      </c>
    </row>
    <row r="38" spans="1:14" ht="12.75" customHeight="1">
      <c r="A38" s="1501" t="s">
        <v>980</v>
      </c>
      <c r="B38" s="169"/>
      <c r="C38" s="194" t="s">
        <v>123</v>
      </c>
      <c r="D38" s="1162">
        <f>[1]!F001P530Personnel</f>
        <v>0</v>
      </c>
      <c r="E38" s="1163"/>
      <c r="F38" s="1364"/>
      <c r="G38" s="1364"/>
      <c r="H38" s="1364"/>
      <c r="I38" s="1364"/>
      <c r="J38" s="1364"/>
      <c r="K38" s="1525">
        <f>[1]!F001P530</f>
        <v>0</v>
      </c>
      <c r="L38" s="1525">
        <f>SUM(F38:J38)</f>
        <v>0</v>
      </c>
      <c r="M38" s="1164">
        <f>IF(K38=L38,0,IF(K38&gt;0,(L38-K38)/K38,""))</f>
        <v>0</v>
      </c>
      <c r="N38" s="177" t="s">
        <v>123</v>
      </c>
    </row>
    <row r="39" spans="1:14" ht="11.25" customHeight="1">
      <c r="A39" s="1497" t="s">
        <v>981</v>
      </c>
      <c r="B39" s="96"/>
      <c r="C39" s="192" t="s">
        <v>42</v>
      </c>
      <c r="D39" s="1083"/>
      <c r="E39" s="1083"/>
      <c r="F39" s="1524"/>
      <c r="G39" s="1524"/>
      <c r="H39" s="1524"/>
      <c r="I39" s="1524"/>
      <c r="J39" s="1524"/>
      <c r="K39" s="1524"/>
      <c r="L39" s="1524"/>
      <c r="M39" s="1083"/>
      <c r="N39" s="177" t="s">
        <v>42</v>
      </c>
    </row>
    <row r="40" spans="1:14" ht="13.5" customHeight="1">
      <c r="A40" s="187" t="s">
        <v>1067</v>
      </c>
      <c r="B40" s="169"/>
      <c r="C40" s="195" t="s">
        <v>124</v>
      </c>
      <c r="D40" s="1148">
        <f>[1]!F001P540Personnel</f>
        <v>0</v>
      </c>
      <c r="E40" s="1148">
        <v>0</v>
      </c>
      <c r="F40" s="1165">
        <v>0</v>
      </c>
      <c r="G40" s="1165">
        <v>0</v>
      </c>
      <c r="H40" s="1165">
        <v>0</v>
      </c>
      <c r="I40" s="1165">
        <v>0</v>
      </c>
      <c r="J40" s="1165">
        <v>0</v>
      </c>
      <c r="K40" s="1165">
        <f>'[1]Page 1'!$L$40</f>
        <v>0</v>
      </c>
      <c r="L40" s="1165">
        <f>SUM(F40:J40)</f>
        <v>0</v>
      </c>
      <c r="M40" s="1151">
        <f>IF(K40=L40,0,IF(K40&gt;0,(L40-K40)/K40,""))</f>
        <v>0</v>
      </c>
      <c r="N40" s="177" t="s">
        <v>124</v>
      </c>
    </row>
    <row r="41" spans="1:14" ht="13.5" customHeight="1">
      <c r="A41" s="1502" t="s">
        <v>982</v>
      </c>
      <c r="B41" s="1342"/>
      <c r="C41" s="1343" t="s">
        <v>125</v>
      </c>
      <c r="D41" s="1152">
        <f>[1]!F001P550Personnel</f>
        <v>0</v>
      </c>
      <c r="E41" s="1153"/>
      <c r="F41" s="12">
        <f>68201*0.8</f>
        <v>54561</v>
      </c>
      <c r="G41" s="12">
        <f>68201-F41</f>
        <v>13640</v>
      </c>
      <c r="H41" s="12"/>
      <c r="I41" s="12"/>
      <c r="J41" s="12"/>
      <c r="K41" s="331">
        <f>[1]!F001P550</f>
        <v>37500</v>
      </c>
      <c r="L41" s="1525">
        <f>SUM(F41:J41)</f>
        <v>68201</v>
      </c>
      <c r="M41" s="1155">
        <f>IF(K41=L41,0,IF(K41&gt;0,(L41-K41)/K41,""))</f>
        <v>0.81899999999999995</v>
      </c>
      <c r="N41" s="177" t="s">
        <v>125</v>
      </c>
    </row>
    <row r="42" spans="1:14" ht="13.5" customHeight="1">
      <c r="A42" s="1514" t="s">
        <v>925</v>
      </c>
      <c r="B42" s="1514"/>
      <c r="C42" s="180" t="s">
        <v>126</v>
      </c>
      <c r="D42" s="1428">
        <f t="shared" ref="D42:K42" si="6">SUM(D34:D41)+D22</f>
        <v>0</v>
      </c>
      <c r="E42" s="1428">
        <f t="shared" si="6"/>
        <v>0</v>
      </c>
      <c r="F42" s="1450">
        <f t="shared" si="6"/>
        <v>2273904</v>
      </c>
      <c r="G42" s="1450">
        <f t="shared" si="6"/>
        <v>631190</v>
      </c>
      <c r="H42" s="1450">
        <f t="shared" si="6"/>
        <v>626750</v>
      </c>
      <c r="I42" s="1450">
        <f t="shared" si="6"/>
        <v>468550</v>
      </c>
      <c r="J42" s="1450">
        <f t="shared" si="6"/>
        <v>20000</v>
      </c>
      <c r="K42" s="1450">
        <f t="shared" si="6"/>
        <v>3989693</v>
      </c>
      <c r="L42" s="1528">
        <f>SUM(F42:J42)</f>
        <v>4020394</v>
      </c>
      <c r="M42" s="1429">
        <f>IF(K42=L42,0,IF(K42&gt;0,(L42-K42)/K42,""))</f>
        <v>8.0000000000000002E-3</v>
      </c>
      <c r="N42" s="177" t="s">
        <v>126</v>
      </c>
    </row>
    <row r="43" spans="1:14" ht="15.75" customHeight="1">
      <c r="A43" s="1514" t="s">
        <v>1346</v>
      </c>
      <c r="B43" s="1514"/>
      <c r="C43" s="1343" t="s">
        <v>248</v>
      </c>
      <c r="D43" s="1345"/>
      <c r="E43" s="1346"/>
      <c r="F43" s="1451"/>
      <c r="G43" s="1451"/>
      <c r="H43" s="1451"/>
      <c r="I43" s="1451"/>
      <c r="J43" s="1451"/>
      <c r="K43" s="403">
        <f>[1]!F001Carryforward</f>
        <v>0</v>
      </c>
      <c r="L43" s="13">
        <v>503178</v>
      </c>
      <c r="M43" s="1344"/>
      <c r="N43" s="177" t="s">
        <v>248</v>
      </c>
    </row>
    <row r="44" spans="1:14" ht="25.5" customHeight="1">
      <c r="A44" s="1606" t="s">
        <v>966</v>
      </c>
      <c r="B44" s="1607"/>
      <c r="C44" s="1452" t="s">
        <v>250</v>
      </c>
      <c r="D44" s="1148">
        <f>D42</f>
        <v>0</v>
      </c>
      <c r="E44" s="1148">
        <f>E42</f>
        <v>0</v>
      </c>
      <c r="F44" s="1165">
        <f t="shared" ref="F44:J44" si="7">F42</f>
        <v>2273904</v>
      </c>
      <c r="G44" s="1165">
        <f t="shared" si="7"/>
        <v>631190</v>
      </c>
      <c r="H44" s="1165">
        <f t="shared" si="7"/>
        <v>626750</v>
      </c>
      <c r="I44" s="1165">
        <f t="shared" si="7"/>
        <v>468550</v>
      </c>
      <c r="J44" s="1165">
        <f t="shared" si="7"/>
        <v>20000</v>
      </c>
      <c r="K44" s="1165">
        <f>K42+K43</f>
        <v>3989693</v>
      </c>
      <c r="L44" s="1165">
        <f>L42+L43</f>
        <v>4523572</v>
      </c>
      <c r="M44" s="1151">
        <f>IF(K44=L44,0,IF(K44&gt;0,(L44-K44)/K44,""))</f>
        <v>0.13400000000000001</v>
      </c>
      <c r="N44" s="411" t="s">
        <v>250</v>
      </c>
    </row>
    <row r="45" spans="1:14" ht="12.75" customHeight="1">
      <c r="A45" s="96"/>
      <c r="G45" s="1605"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605"/>
      <c r="I45" s="1605"/>
      <c r="J45" s="1605"/>
      <c r="K45" s="1605"/>
      <c r="L45" s="1605"/>
      <c r="M45" s="1605"/>
    </row>
    <row r="46" spans="1:14" ht="12.75" customHeight="1">
      <c r="A46" s="96" t="s">
        <v>127</v>
      </c>
      <c r="B46" s="138"/>
      <c r="C46" s="138"/>
      <c r="D46" s="138"/>
      <c r="E46" s="138"/>
      <c r="F46" s="138"/>
      <c r="G46" s="138"/>
      <c r="I46" s="196"/>
      <c r="J46" s="138"/>
      <c r="K46" s="138"/>
      <c r="L46" s="138"/>
      <c r="M46" s="196"/>
      <c r="N46" s="1287"/>
    </row>
    <row r="47" spans="1:14" s="96" customFormat="1" ht="12.75" customHeight="1">
      <c r="A47" s="197"/>
      <c r="B47" s="198"/>
      <c r="C47" s="198"/>
      <c r="D47" s="198"/>
      <c r="E47" s="199"/>
      <c r="F47" s="199"/>
      <c r="G47" s="199"/>
      <c r="H47" s="199"/>
      <c r="I47" s="199"/>
      <c r="J47" s="199"/>
      <c r="K47" s="199"/>
      <c r="L47" s="199"/>
      <c r="M47" s="199"/>
      <c r="N47" s="3"/>
    </row>
    <row r="48" spans="1:14" s="96" customFormat="1" ht="11.25" customHeight="1">
      <c r="A48" s="197"/>
      <c r="B48" s="198"/>
      <c r="C48" s="200"/>
      <c r="D48" s="198"/>
      <c r="E48" s="201"/>
      <c r="F48" s="202"/>
      <c r="G48" s="202"/>
      <c r="H48" s="202"/>
      <c r="I48" s="202"/>
      <c r="J48" s="202"/>
      <c r="K48" s="198"/>
      <c r="L48" s="202"/>
      <c r="M48" s="203"/>
      <c r="N48" s="3"/>
    </row>
    <row r="49" spans="1:13" ht="11.25" customHeight="1">
      <c r="A49" s="204"/>
      <c r="B49" s="96"/>
      <c r="C49" s="1267"/>
      <c r="D49" s="96"/>
      <c r="E49" s="205"/>
      <c r="F49" s="206"/>
      <c r="G49" s="206"/>
      <c r="H49" s="206"/>
      <c r="I49" s="206"/>
      <c r="J49" s="206"/>
      <c r="K49" s="96"/>
      <c r="L49" s="202"/>
      <c r="M49" s="207"/>
    </row>
  </sheetData>
  <sheetProtection sheet="1" formatCells="0" formatColumns="0" formatRows="0"/>
  <mergeCells count="4">
    <mergeCell ref="M1:N1"/>
    <mergeCell ref="B1:E1"/>
    <mergeCell ref="G45:M45"/>
    <mergeCell ref="A44:B44"/>
  </mergeCells>
  <conditionalFormatting sqref="G45:M45">
    <cfRule type="expression" dxfId="31" priority="17">
      <formula>ROUND(L42,0)&gt;ROUND(GBLBudgFY,0)</formula>
    </cfRule>
  </conditionalFormatting>
  <conditionalFormatting sqref="L43">
    <cfRule type="expression" dxfId="30" priority="1">
      <formula>L43=""</formula>
    </cfRule>
  </conditionalFormatting>
  <hyperlinks>
    <hyperlink ref="C12" location="Page1l4" display="4." xr:uid="{00000000-0004-0000-0100-000000000000}"/>
    <hyperlink ref="C17" location="Page1l9" display="9." xr:uid="{00000000-0004-0000-0100-000001000000}"/>
    <hyperlink ref="C38" location="Page1l27" display="'27." xr:uid="{00000000-0004-0000-0100-000002000000}"/>
    <hyperlink ref="C40" location="Page1l28" display="'28." xr:uid="{00000000-0004-0000-0100-000003000000}"/>
    <hyperlink ref="C41" location="Page1l29" display="'29." xr:uid="{00000000-0004-0000-0100-000004000000}"/>
    <hyperlink ref="C43" location="PlannedCarryforward" display="'31." xr:uid="{00000000-0004-0000-0100-000005000000}"/>
    <hyperlink ref="C42" location="Page1Line30" display="30." xr:uid="{00000000-0004-0000-0100-000006000000}"/>
    <hyperlink ref="C44" location="Page1Line32" display="32." xr:uid="{00000000-0004-0000-0100-000007000000}"/>
    <hyperlink ref="A4" location="Page1l4" display="Instructions" xr:uid="{00000000-0004-0000-0100-000008000000}"/>
  </hyperlinks>
  <printOptions horizontalCentered="1"/>
  <pageMargins left="0.25" right="0.25" top="0.25" bottom="0.25" header="0" footer="0.15"/>
  <pageSetup paperSize="5" scale="99" orientation="landscape" r:id="rId1"/>
  <headerFooter alignWithMargins="0">
    <oddFooter>&amp;L&amp;"Times New Roman,Bold"&amp;9Rev. 5/26&amp;K000000 Arizona Department of Education and Auditor General&amp;C&amp;"Times New Roman,Regular"&amp;9&amp;D  &amp;T</oddFooter>
  </headerFooter>
  <rowBreaks count="1" manualBreakCount="1">
    <brk id="4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codeName="Sheet4">
    <pageSetUpPr fitToPage="1"/>
  </sheetPr>
  <dimension ref="A1:Z49"/>
  <sheetViews>
    <sheetView showGridLines="0" workbookViewId="0">
      <selection activeCell="R20" sqref="R20"/>
    </sheetView>
  </sheetViews>
  <sheetFormatPr defaultColWidth="9.81640625" defaultRowHeight="15.6"/>
  <cols>
    <col min="1" max="1" width="3.81640625" style="97" customWidth="1"/>
    <col min="2" max="2" width="11.81640625" style="97" customWidth="1"/>
    <col min="3" max="3" width="5.81640625" style="97" customWidth="1"/>
    <col min="4" max="4" width="7.81640625" style="97" customWidth="1"/>
    <col min="5" max="8" width="8.81640625" style="97" customWidth="1"/>
    <col min="9" max="9" width="3" style="97" customWidth="1"/>
    <col min="10" max="10" width="9.81640625" style="97" customWidth="1"/>
    <col min="11" max="11" width="2.81640625" style="97" customWidth="1"/>
    <col min="12" max="12" width="8.81640625" style="97" customWidth="1"/>
    <col min="13" max="13" width="10" style="97" customWidth="1"/>
    <col min="14" max="14" width="5" style="97" customWidth="1"/>
    <col min="15" max="15" width="11" style="97" customWidth="1"/>
    <col min="16" max="16" width="4.453125" style="97" customWidth="1"/>
    <col min="17" max="17" width="3.453125" style="97" customWidth="1"/>
    <col min="18" max="19" width="10" style="97" customWidth="1"/>
    <col min="20" max="20" width="3" style="97" customWidth="1"/>
    <col min="21" max="26" width="9.81640625" style="97" customWidth="1"/>
    <col min="27" max="16384" width="9.81640625" style="97"/>
  </cols>
  <sheetData>
    <row r="1" spans="1:26" ht="15" customHeight="1">
      <c r="A1" s="1612" t="s">
        <v>56</v>
      </c>
      <c r="B1" s="1613"/>
      <c r="C1" s="1546" t="str">
        <f>DistrictName</f>
        <v>Stanfield Elementary School District</v>
      </c>
      <c r="D1" s="1604"/>
      <c r="E1" s="1604"/>
      <c r="F1" s="1604"/>
      <c r="H1" s="1266" t="s">
        <v>1</v>
      </c>
      <c r="I1" s="1538" t="str">
        <f>Cover!H1</f>
        <v>Pinal</v>
      </c>
      <c r="J1" s="1537"/>
      <c r="K1" s="134"/>
      <c r="N1" s="1266" t="s">
        <v>57</v>
      </c>
      <c r="O1" s="1280" t="str">
        <f>CTD</f>
        <v>110424000</v>
      </c>
      <c r="Q1" s="1266" t="s">
        <v>16</v>
      </c>
      <c r="R1" s="1263" t="str">
        <f>Cover!C8</f>
        <v>Proposed</v>
      </c>
      <c r="T1" s="157"/>
    </row>
    <row r="2" spans="1:26" ht="12" customHeight="1">
      <c r="H2" s="208"/>
      <c r="I2" s="209"/>
      <c r="J2" s="209"/>
      <c r="K2" s="209"/>
      <c r="R2" s="208"/>
    </row>
    <row r="3" spans="1:26" ht="11.25" customHeight="1">
      <c r="A3" s="1571" t="s">
        <v>692</v>
      </c>
      <c r="B3" s="1571"/>
      <c r="M3" s="1297"/>
      <c r="N3" s="1297"/>
      <c r="O3" s="210"/>
      <c r="T3" s="138"/>
    </row>
    <row r="4" spans="1:26" ht="12" customHeight="1">
      <c r="A4" s="211" t="s">
        <v>1070</v>
      </c>
      <c r="B4" s="211"/>
      <c r="C4" s="211"/>
      <c r="D4" s="211"/>
      <c r="E4" s="211"/>
      <c r="F4" s="211"/>
      <c r="G4" s="211"/>
      <c r="I4" s="209" t="s">
        <v>42</v>
      </c>
      <c r="K4" s="209"/>
      <c r="L4" s="1297"/>
      <c r="M4" s="1297"/>
      <c r="N4" s="210"/>
      <c r="O4" s="210"/>
      <c r="P4" s="210"/>
      <c r="Q4" s="138"/>
    </row>
    <row r="5" spans="1:26" ht="12" customHeight="1">
      <c r="B5" s="138"/>
      <c r="C5" s="138"/>
      <c r="D5" s="138"/>
      <c r="E5" s="210"/>
      <c r="F5" s="210"/>
      <c r="G5" s="210"/>
      <c r="H5" s="210"/>
      <c r="J5" s="138"/>
      <c r="K5" s="138"/>
      <c r="L5" s="138"/>
      <c r="M5" s="138"/>
      <c r="N5" s="138"/>
      <c r="O5" s="210"/>
      <c r="P5" s="210"/>
      <c r="Q5" s="210"/>
      <c r="R5" s="138"/>
    </row>
    <row r="6" spans="1:26" ht="15" customHeight="1" thickBot="1">
      <c r="A6" s="138" t="s">
        <v>128</v>
      </c>
      <c r="B6" s="138"/>
      <c r="C6" s="138"/>
      <c r="D6" s="138"/>
      <c r="E6" s="210"/>
      <c r="F6" s="210" t="s">
        <v>129</v>
      </c>
      <c r="G6" s="210" t="s">
        <v>130</v>
      </c>
      <c r="L6" s="138"/>
      <c r="M6" s="138"/>
      <c r="N6" s="148"/>
      <c r="O6" s="212"/>
      <c r="P6" s="212"/>
      <c r="Q6" s="212"/>
      <c r="R6" s="213"/>
    </row>
    <row r="7" spans="1:26" ht="12.75" customHeight="1">
      <c r="A7" s="214" t="s">
        <v>6</v>
      </c>
      <c r="B7" s="138" t="s">
        <v>895</v>
      </c>
      <c r="C7" s="215"/>
      <c r="D7" s="215"/>
      <c r="E7" s="216"/>
      <c r="F7" s="217">
        <f>[1]!F001P200Subtotal</f>
        <v>698875</v>
      </c>
      <c r="G7" s="52">
        <f>F001P200TotBudgFY</f>
        <v>698875</v>
      </c>
      <c r="H7" s="218" t="s">
        <v>6</v>
      </c>
      <c r="J7" s="219"/>
      <c r="K7" s="220" t="s">
        <v>131</v>
      </c>
      <c r="L7" s="221"/>
      <c r="M7" s="221"/>
      <c r="N7" s="221"/>
      <c r="O7" s="222"/>
      <c r="Y7" s="223"/>
      <c r="Z7" s="223"/>
    </row>
    <row r="8" spans="1:26" ht="12.75" customHeight="1">
      <c r="A8" s="224" t="s">
        <v>8</v>
      </c>
      <c r="B8" s="234" t="s">
        <v>983</v>
      </c>
      <c r="C8" s="138"/>
      <c r="D8" s="138"/>
      <c r="E8" s="225"/>
      <c r="F8" s="226">
        <f>[1]!SPEDGiftedEdBudgFY</f>
        <v>0</v>
      </c>
      <c r="G8" s="53"/>
      <c r="H8" s="218" t="s">
        <v>8</v>
      </c>
      <c r="J8" s="219"/>
      <c r="K8" s="138" t="s">
        <v>993</v>
      </c>
      <c r="N8" s="227">
        <v>6350</v>
      </c>
      <c r="O8" s="1424">
        <v>25000</v>
      </c>
      <c r="Y8" s="223"/>
      <c r="Z8" s="223"/>
    </row>
    <row r="9" spans="1:26" ht="12.75" customHeight="1">
      <c r="A9" s="224" t="s">
        <v>22</v>
      </c>
      <c r="B9" s="234" t="s">
        <v>984</v>
      </c>
      <c r="C9" s="138"/>
      <c r="D9" s="138"/>
      <c r="E9" s="225"/>
      <c r="F9" s="226">
        <f>[1]!SPEDRemedialEdBudgFY</f>
        <v>0</v>
      </c>
      <c r="G9" s="53"/>
      <c r="H9" s="218" t="s">
        <v>22</v>
      </c>
      <c r="J9" s="219"/>
      <c r="K9" s="138" t="s">
        <v>994</v>
      </c>
      <c r="N9" s="228">
        <v>6330</v>
      </c>
      <c r="O9" s="43">
        <v>9000</v>
      </c>
      <c r="Y9" s="223"/>
      <c r="Z9" s="223"/>
    </row>
    <row r="10" spans="1:26" ht="12.75" customHeight="1">
      <c r="A10" s="229" t="s">
        <v>40</v>
      </c>
      <c r="B10" s="234" t="s">
        <v>985</v>
      </c>
      <c r="C10" s="234"/>
      <c r="D10" s="138"/>
      <c r="E10" s="225"/>
      <c r="F10" s="226">
        <f>[1]!SPEDELLIncCostBudgFY</f>
        <v>0</v>
      </c>
      <c r="G10" s="53"/>
      <c r="H10" s="218" t="s">
        <v>40</v>
      </c>
      <c r="J10" s="219"/>
      <c r="K10" s="138"/>
      <c r="Y10" s="223"/>
      <c r="Z10" s="223"/>
    </row>
    <row r="11" spans="1:26" ht="12.75" customHeight="1">
      <c r="A11" s="214" t="s">
        <v>98</v>
      </c>
      <c r="B11" s="138" t="s">
        <v>986</v>
      </c>
      <c r="C11" s="234"/>
      <c r="D11" s="234"/>
      <c r="E11" s="225"/>
      <c r="F11" s="226">
        <f>[1]!SPEDELLCompInstrBudgFY</f>
        <v>0</v>
      </c>
      <c r="G11" s="53"/>
      <c r="H11" s="230" t="s">
        <v>98</v>
      </c>
      <c r="J11" s="219"/>
      <c r="L11" s="138"/>
      <c r="M11" s="1301"/>
      <c r="N11" s="212"/>
      <c r="O11" s="138"/>
      <c r="P11" s="138"/>
      <c r="Q11" s="138"/>
      <c r="R11" s="138"/>
      <c r="Y11" s="223"/>
      <c r="Z11" s="223"/>
    </row>
    <row r="12" spans="1:26" ht="12.75" customHeight="1">
      <c r="A12" s="231" t="s">
        <v>99</v>
      </c>
      <c r="B12" s="234" t="s">
        <v>987</v>
      </c>
      <c r="C12" s="257"/>
      <c r="D12" s="257"/>
      <c r="E12" s="235"/>
      <c r="F12" s="226">
        <f>[1]!SPEDVocTechEdBudgFY</f>
        <v>0</v>
      </c>
      <c r="G12" s="53"/>
      <c r="H12" s="218" t="s">
        <v>99</v>
      </c>
      <c r="J12" s="219"/>
      <c r="K12" s="1297" t="s">
        <v>1369</v>
      </c>
      <c r="N12" s="138"/>
      <c r="O12" s="1301"/>
      <c r="P12" s="212"/>
      <c r="Q12" s="138"/>
      <c r="R12" s="138"/>
      <c r="Y12" s="223"/>
      <c r="Z12" s="223"/>
    </row>
    <row r="13" spans="1:26" ht="12.75" customHeight="1">
      <c r="A13" s="231" t="s">
        <v>100</v>
      </c>
      <c r="B13" s="234" t="s">
        <v>988</v>
      </c>
      <c r="C13" s="138"/>
      <c r="D13" s="138"/>
      <c r="E13" s="225"/>
      <c r="F13" s="232">
        <f>[1]!SPEDCareerEdBudgFY</f>
        <v>0</v>
      </c>
      <c r="G13" s="54"/>
      <c r="H13" s="233" t="s">
        <v>100</v>
      </c>
      <c r="J13" s="219"/>
      <c r="K13" s="138" t="s">
        <v>992</v>
      </c>
      <c r="Q13" s="1301"/>
      <c r="R13" s="30"/>
      <c r="Y13" s="223"/>
      <c r="Z13" s="223"/>
    </row>
    <row r="14" spans="1:26" ht="12.75" customHeight="1" thickBot="1">
      <c r="A14" s="231" t="s">
        <v>102</v>
      </c>
      <c r="B14" s="234" t="s">
        <v>989</v>
      </c>
      <c r="C14" s="234"/>
      <c r="D14" s="234"/>
      <c r="E14" s="235"/>
      <c r="F14" s="1086">
        <f>[1]!JTEDBudgFY</f>
        <v>0</v>
      </c>
      <c r="G14" s="1087"/>
      <c r="H14" s="233" t="s">
        <v>102</v>
      </c>
      <c r="I14" s="1614" t="str">
        <f>IF(SUM(G7:G14)=SUM('Page 1'!L34:L34),"","Invalid. The amount should equal the total budgeted amount reported on line 24, page 1.")</f>
        <v/>
      </c>
      <c r="J14" s="1614"/>
      <c r="K14" s="138"/>
      <c r="Q14" s="1301"/>
      <c r="R14" s="236"/>
      <c r="Y14" s="223"/>
      <c r="Z14" s="223"/>
    </row>
    <row r="15" spans="1:26" ht="12.75" customHeight="1">
      <c r="A15" s="237" t="s">
        <v>103</v>
      </c>
      <c r="B15" s="138" t="s">
        <v>990</v>
      </c>
      <c r="C15" s="138"/>
      <c r="D15" s="138"/>
      <c r="E15" s="1610"/>
      <c r="F15" s="1084"/>
      <c r="G15" s="1085"/>
      <c r="H15" s="218"/>
      <c r="I15" s="1614"/>
      <c r="J15" s="1614"/>
      <c r="K15" s="238" t="s">
        <v>991</v>
      </c>
      <c r="L15" s="306"/>
      <c r="Q15" s="239"/>
      <c r="R15" s="138"/>
      <c r="Y15" s="223"/>
      <c r="Z15" s="223"/>
    </row>
    <row r="16" spans="1:26" ht="12.75" customHeight="1" thickBot="1">
      <c r="A16" s="240"/>
      <c r="B16" s="138" t="s">
        <v>132</v>
      </c>
      <c r="C16" s="138"/>
      <c r="D16" s="138"/>
      <c r="E16" s="1611"/>
      <c r="F16" s="1192">
        <f>SUM(F7:F14)</f>
        <v>698875</v>
      </c>
      <c r="G16" s="1192">
        <f>SUM(G7:G14)</f>
        <v>698875</v>
      </c>
      <c r="H16" s="241" t="s">
        <v>103</v>
      </c>
      <c r="I16" s="1614"/>
      <c r="J16" s="1614"/>
      <c r="Y16" s="223"/>
      <c r="Z16" s="223"/>
    </row>
    <row r="17" spans="1:26" ht="12.75" customHeight="1" thickTop="1">
      <c r="A17" s="240"/>
      <c r="B17" s="138"/>
      <c r="C17" s="138"/>
      <c r="D17" s="138"/>
      <c r="E17" s="138"/>
      <c r="F17" s="138"/>
      <c r="G17" s="138"/>
      <c r="H17" s="1287"/>
      <c r="I17" s="1614"/>
      <c r="J17" s="1614"/>
      <c r="L17" s="138"/>
      <c r="N17" s="1301"/>
      <c r="O17" s="1267"/>
      <c r="P17" s="212"/>
      <c r="Q17" s="138"/>
      <c r="Y17" s="223"/>
      <c r="Z17" s="223"/>
    </row>
    <row r="18" spans="1:26" ht="12.75" customHeight="1">
      <c r="A18" s="237" t="s">
        <v>104</v>
      </c>
      <c r="B18" s="242" t="s">
        <v>133</v>
      </c>
      <c r="C18" s="242"/>
      <c r="D18" s="242"/>
      <c r="E18" s="242"/>
      <c r="F18" s="242"/>
      <c r="G18" s="242"/>
      <c r="H18" s="243"/>
      <c r="I18" s="1614"/>
      <c r="J18" s="1614"/>
      <c r="K18" s="220" t="s">
        <v>134</v>
      </c>
      <c r="L18" s="220"/>
      <c r="M18" s="221"/>
      <c r="N18" s="221"/>
      <c r="O18" s="221"/>
      <c r="P18" s="244"/>
      <c r="Q18" s="244"/>
      <c r="R18" s="244"/>
      <c r="Y18" s="223"/>
      <c r="Z18" s="223"/>
    </row>
    <row r="19" spans="1:26" ht="12.75" customHeight="1">
      <c r="A19" s="243"/>
      <c r="B19" s="242" t="s">
        <v>135</v>
      </c>
      <c r="C19" s="242"/>
      <c r="D19" s="242"/>
      <c r="E19" s="243"/>
      <c r="F19" s="245">
        <f t="array" ref="F19">[1]!IEPTransportCosts</f>
        <v>0</v>
      </c>
      <c r="G19" s="79"/>
      <c r="H19" s="246" t="s">
        <v>104</v>
      </c>
      <c r="J19" s="219"/>
      <c r="K19" s="247" t="s">
        <v>1071</v>
      </c>
      <c r="L19" s="135"/>
      <c r="M19" s="135"/>
      <c r="N19" s="135"/>
      <c r="O19" s="135"/>
      <c r="P19" s="135"/>
      <c r="Q19" s="248"/>
      <c r="R19" s="31">
        <v>16000</v>
      </c>
      <c r="Y19" s="223"/>
      <c r="Z19" s="223"/>
    </row>
    <row r="20" spans="1:26" ht="12.75" customHeight="1">
      <c r="E20" s="249"/>
      <c r="K20" s="135" t="s">
        <v>136</v>
      </c>
      <c r="L20" s="135"/>
      <c r="M20" s="135"/>
      <c r="N20" s="135"/>
      <c r="O20" s="135"/>
      <c r="P20" s="135"/>
      <c r="Q20" s="244"/>
      <c r="R20" s="244"/>
      <c r="Y20" s="223"/>
      <c r="Z20" s="223"/>
    </row>
    <row r="21" spans="1:26" ht="12.75" customHeight="1">
      <c r="K21" s="135" t="s">
        <v>137</v>
      </c>
      <c r="L21" s="135"/>
      <c r="M21" s="135"/>
      <c r="N21" s="135"/>
      <c r="O21" s="135"/>
      <c r="P21" s="135"/>
      <c r="Q21" s="244"/>
      <c r="R21" s="244"/>
      <c r="Y21" s="223"/>
      <c r="Z21" s="223"/>
    </row>
    <row r="22" spans="1:26" ht="12" customHeight="1">
      <c r="A22" s="1118" t="s">
        <v>138</v>
      </c>
      <c r="C22" s="196"/>
      <c r="D22" s="196"/>
      <c r="E22" s="196"/>
      <c r="F22" s="250"/>
      <c r="G22" s="138"/>
      <c r="H22" s="138"/>
      <c r="I22" s="118"/>
      <c r="O22" s="138"/>
      <c r="P22" s="138"/>
      <c r="Q22" s="138"/>
      <c r="Y22" s="223"/>
      <c r="Z22" s="223"/>
    </row>
    <row r="23" spans="1:26" ht="12.75" customHeight="1">
      <c r="A23" s="251" t="s">
        <v>139</v>
      </c>
      <c r="C23" s="196"/>
      <c r="D23" s="196"/>
      <c r="F23" s="1301" t="s">
        <v>1068</v>
      </c>
      <c r="G23" s="252">
        <f>SPEDTeacher</f>
        <v>18</v>
      </c>
      <c r="H23" s="138"/>
      <c r="K23" s="1297"/>
      <c r="O23" s="138"/>
      <c r="P23" s="253"/>
      <c r="Q23" s="239"/>
      <c r="R23" s="138"/>
      <c r="S23" s="138"/>
      <c r="Y23" s="223"/>
      <c r="Z23" s="223"/>
    </row>
    <row r="24" spans="1:26" ht="12.75" customHeight="1">
      <c r="F24" s="1301" t="s">
        <v>1069</v>
      </c>
      <c r="G24" s="252">
        <f>SPEDStaff</f>
        <v>18</v>
      </c>
      <c r="H24" s="138"/>
      <c r="K24" s="1616"/>
      <c r="L24" s="1616"/>
      <c r="M24" s="1616"/>
      <c r="N24" s="1616"/>
      <c r="O24" s="1616"/>
      <c r="P24" s="1616"/>
      <c r="Q24" s="254"/>
      <c r="R24" s="255"/>
      <c r="Y24" s="223"/>
      <c r="Z24" s="223"/>
    </row>
    <row r="25" spans="1:26" ht="12.75" customHeight="1">
      <c r="F25" s="138"/>
      <c r="G25" s="138"/>
      <c r="H25" s="138"/>
      <c r="K25" s="1615"/>
      <c r="L25" s="1615"/>
      <c r="M25" s="1615"/>
      <c r="N25" s="1615"/>
      <c r="O25" s="1615"/>
      <c r="P25" s="256"/>
      <c r="Q25" s="257"/>
      <c r="R25" s="257"/>
      <c r="Y25" s="223"/>
      <c r="Z25" s="223"/>
    </row>
    <row r="26" spans="1:26" ht="13.5" customHeight="1">
      <c r="A26" s="1609"/>
      <c r="B26" s="1609"/>
      <c r="C26" s="1609"/>
      <c r="D26" s="1609"/>
      <c r="G26" s="138"/>
      <c r="H26" s="138"/>
      <c r="J26" s="258"/>
      <c r="K26" s="259"/>
      <c r="L26" s="234"/>
      <c r="M26" s="234"/>
      <c r="N26" s="234"/>
      <c r="O26" s="234"/>
      <c r="P26" s="257"/>
      <c r="Q26" s="257"/>
      <c r="R26" s="260"/>
      <c r="Y26" s="223"/>
      <c r="Z26" s="223"/>
    </row>
    <row r="27" spans="1:26" ht="12.75" customHeight="1">
      <c r="A27" s="1246"/>
      <c r="C27" s="209"/>
      <c r="F27" s="138"/>
      <c r="K27" s="259"/>
      <c r="L27" s="234"/>
      <c r="M27" s="234"/>
      <c r="N27" s="234"/>
      <c r="O27" s="234"/>
      <c r="P27" s="257"/>
      <c r="Q27" s="257"/>
      <c r="R27" s="260"/>
      <c r="S27" s="1287"/>
      <c r="Y27" s="223"/>
      <c r="Z27" s="223"/>
    </row>
    <row r="28" spans="1:26" ht="13.5" customHeight="1">
      <c r="C28" s="209"/>
      <c r="E28" s="1247"/>
      <c r="F28" s="266"/>
      <c r="K28" s="259"/>
      <c r="L28" s="261"/>
      <c r="M28" s="262"/>
      <c r="N28" s="262"/>
      <c r="O28" s="263"/>
      <c r="P28" s="257"/>
      <c r="Q28" s="257"/>
      <c r="R28" s="264"/>
      <c r="S28" s="1287"/>
      <c r="Y28" s="223"/>
      <c r="Z28" s="223"/>
    </row>
    <row r="29" spans="1:26" ht="15" customHeight="1">
      <c r="E29" s="1247"/>
      <c r="F29" s="268"/>
      <c r="G29" s="1290"/>
      <c r="K29" s="259"/>
      <c r="L29" s="261"/>
      <c r="M29" s="262"/>
      <c r="N29" s="262"/>
      <c r="O29" s="263"/>
      <c r="P29" s="257"/>
      <c r="Q29" s="257"/>
      <c r="R29" s="264"/>
      <c r="S29" s="1287"/>
      <c r="Y29" s="1608"/>
      <c r="Z29" s="1608"/>
    </row>
    <row r="30" spans="1:26" ht="13.5" customHeight="1">
      <c r="B30" s="138"/>
      <c r="D30" s="138"/>
      <c r="E30" s="1301"/>
      <c r="F30" s="1303"/>
      <c r="G30" s="1211"/>
      <c r="K30" s="259"/>
      <c r="L30" s="261"/>
      <c r="M30" s="234"/>
      <c r="N30" s="234"/>
      <c r="O30" s="265"/>
      <c r="P30" s="257"/>
      <c r="Q30" s="257"/>
      <c r="R30" s="264"/>
      <c r="S30" s="1287"/>
      <c r="Y30" s="1608"/>
      <c r="Z30" s="1608"/>
    </row>
    <row r="31" spans="1:26" ht="12.75" customHeight="1">
      <c r="A31" s="1297"/>
      <c r="C31" s="196"/>
      <c r="D31" s="196"/>
      <c r="I31" s="138"/>
      <c r="K31" s="267"/>
      <c r="L31" s="234"/>
      <c r="M31" s="234"/>
      <c r="N31" s="234"/>
      <c r="O31" s="265"/>
      <c r="P31" s="257"/>
      <c r="Q31" s="257"/>
      <c r="R31" s="264"/>
      <c r="S31" s="1287"/>
    </row>
    <row r="32" spans="1:26" ht="12.75" customHeight="1">
      <c r="A32" s="1287"/>
      <c r="B32" s="1293"/>
      <c r="C32" s="1293"/>
      <c r="D32" s="1293"/>
      <c r="E32" s="1293"/>
      <c r="I32" s="1297"/>
      <c r="K32" s="259"/>
      <c r="L32" s="234"/>
      <c r="M32" s="234"/>
      <c r="N32" s="234"/>
      <c r="O32" s="265"/>
      <c r="P32" s="257"/>
      <c r="Q32" s="257"/>
      <c r="R32" s="264"/>
      <c r="S32" s="1287"/>
    </row>
    <row r="33" spans="1:19" ht="13.5" customHeight="1">
      <c r="A33" s="1210"/>
      <c r="B33" s="1303"/>
      <c r="C33" s="1303"/>
      <c r="D33" s="1303"/>
      <c r="E33" s="1303"/>
      <c r="I33" s="138"/>
      <c r="K33" s="259"/>
      <c r="L33" s="234"/>
      <c r="M33" s="234"/>
      <c r="N33" s="234"/>
      <c r="O33" s="265"/>
      <c r="P33" s="257"/>
      <c r="Q33" s="257"/>
      <c r="R33" s="264"/>
      <c r="S33" s="1287"/>
    </row>
    <row r="34" spans="1:19" ht="12.75" customHeight="1">
      <c r="E34" s="269"/>
      <c r="I34" s="138"/>
      <c r="K34" s="267"/>
      <c r="L34" s="261"/>
      <c r="M34" s="234"/>
      <c r="N34" s="234"/>
      <c r="O34" s="265"/>
      <c r="P34" s="257"/>
      <c r="Q34" s="257"/>
      <c r="R34" s="264"/>
      <c r="S34" s="1287"/>
    </row>
    <row r="35" spans="1:19" ht="12.75" customHeight="1">
      <c r="I35" s="138"/>
      <c r="K35" s="257"/>
      <c r="L35" s="234"/>
      <c r="M35" s="234"/>
      <c r="N35" s="234"/>
      <c r="O35" s="234"/>
      <c r="P35" s="234"/>
      <c r="Q35" s="257"/>
      <c r="R35" s="234"/>
      <c r="S35" s="1287"/>
    </row>
    <row r="36" spans="1:19" ht="12.75" customHeight="1">
      <c r="I36" s="138"/>
      <c r="L36" s="138"/>
      <c r="M36" s="138"/>
      <c r="N36" s="138"/>
      <c r="O36" s="138"/>
      <c r="P36" s="138"/>
      <c r="R36" s="138"/>
      <c r="S36" s="1287"/>
    </row>
    <row r="37" spans="1:19" ht="12.75" customHeight="1">
      <c r="L37" s="230"/>
      <c r="M37" s="138"/>
      <c r="N37" s="138"/>
      <c r="O37" s="138"/>
      <c r="P37" s="138"/>
      <c r="R37" s="270"/>
    </row>
    <row r="38" spans="1:19" ht="12.75" customHeight="1">
      <c r="L38" s="230"/>
      <c r="M38" s="138"/>
      <c r="N38" s="138"/>
      <c r="O38" s="138"/>
      <c r="P38" s="138"/>
      <c r="R38" s="270"/>
    </row>
    <row r="39" spans="1:19" ht="12.75" customHeight="1">
      <c r="K39" s="138"/>
      <c r="L39" s="138"/>
      <c r="M39" s="138"/>
      <c r="N39" s="138"/>
      <c r="O39" s="138"/>
      <c r="P39" s="138"/>
    </row>
    <row r="40" spans="1:19" ht="12.75" customHeight="1">
      <c r="K40" s="138"/>
      <c r="L40" s="138"/>
      <c r="M40" s="138"/>
      <c r="N40" s="138"/>
      <c r="O40" s="138"/>
      <c r="P40" s="138"/>
    </row>
    <row r="41" spans="1:19" ht="13.5" customHeight="1">
      <c r="K41" s="138"/>
    </row>
    <row r="42" spans="1:19" ht="12.75" customHeight="1">
      <c r="I42" s="138"/>
      <c r="J42" s="271"/>
      <c r="S42" s="138"/>
    </row>
    <row r="43" spans="1:19" ht="13.5" hidden="1" customHeight="1"/>
    <row r="44" spans="1:19" ht="13.5" customHeight="1"/>
    <row r="45" spans="1:19" ht="13.5" customHeight="1">
      <c r="I45" s="138"/>
    </row>
    <row r="46" spans="1:19" ht="13.5" customHeight="1">
      <c r="I46" s="1297"/>
    </row>
    <row r="47" spans="1:19" ht="6" customHeight="1">
      <c r="I47" s="138"/>
      <c r="J47" s="138"/>
    </row>
    <row r="48" spans="1:19" ht="12" customHeight="1">
      <c r="J48" s="138"/>
    </row>
    <row r="49" spans="19:20" ht="12.75" customHeight="1">
      <c r="S49" s="138"/>
      <c r="T49" s="1301"/>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count="1">
    <dataValidation type="whole" operator="lessThanOrEqual" allowBlank="1" showInputMessage="1" showErrorMessage="1" error="The employer share of retirement system expense for the teacher salary increases may not exceed the ASRS contribution rate of 11.5%." sqref="R32" xr:uid="{00000000-0002-0000-0200-000000000000}">
      <formula1>R31*0.115</formula1>
    </dataValidation>
  </dataValidations>
  <hyperlinks>
    <hyperlink ref="A10" location="Page2l45" display="'4." xr:uid="{00000000-0004-0000-0200-000000000000}"/>
    <hyperlink ref="A11" location="Page2l45" display="'5." xr:uid="{00000000-0004-0000-0200-000001000000}"/>
    <hyperlink ref="A4:F4" location="Page2n1" display="Special education programs by type (M&amp;O Fund programs 200 and 300)" xr:uid="{00000000-0004-0000-0200-000002000000}"/>
    <hyperlink ref="A7" location="Page2n1" display="'1." xr:uid="{00000000-0004-0000-0200-000003000000}"/>
    <hyperlink ref="K7:N7" location="AuditServices" display="Expenditures budgeted for audit services" xr:uid="{00000000-0004-0000-0200-000004000000}"/>
    <hyperlink ref="K18:O18" location="MOFoodService" display="Expenditures budgeted in the M&amp;O Fund for food service" xr:uid="{00000000-0004-0000-0200-000005000000}"/>
    <hyperlink ref="A3" location="Page2n1" display="Instructions" xr:uid="{00000000-0004-0000-0200-000006000000}"/>
  </hyperlinks>
  <printOptions horizontalCentered="1"/>
  <pageMargins left="0.25" right="0.25" top="0.25" bottom="0.25" header="0" footer="0.15"/>
  <pageSetup paperSize="5" scale="92" orientation="landscape" r:id="rId1"/>
  <headerFooter alignWithMargins="0">
    <oddFooter>&amp;L&amp;"Times New Roman,Bold"&amp;9Rev. 5/26&amp;K000000 Arizona Department of Education and Auditor General&amp;C&amp;"Times New Roman,Regular"&amp;9&amp;D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Y43"/>
  <sheetViews>
    <sheetView showGridLines="0" topLeftCell="A4" workbookViewId="0">
      <selection activeCell="K16" sqref="K16"/>
    </sheetView>
  </sheetViews>
  <sheetFormatPr defaultColWidth="8.81640625" defaultRowHeight="15"/>
  <cols>
    <col min="1" max="1" width="38.81640625" customWidth="1"/>
    <col min="2" max="2" width="4" customWidth="1"/>
    <col min="3" max="3" width="3.54296875" customWidth="1"/>
    <col min="4" max="11" width="11.81640625" customWidth="1"/>
    <col min="12" max="12" width="6.81640625" customWidth="1"/>
    <col min="13" max="13" width="3.81640625" customWidth="1"/>
    <col min="14" max="14" width="2" customWidth="1"/>
    <col min="15" max="15" width="14" customWidth="1"/>
    <col min="16" max="16" width="7.453125" customWidth="1"/>
    <col min="17" max="17" width="8.81640625" customWidth="1"/>
    <col min="18" max="18" width="20.81640625" customWidth="1"/>
    <col min="19" max="25" width="8.81640625" customWidth="1"/>
  </cols>
  <sheetData>
    <row r="1" spans="1:25" ht="16.5" customHeight="1">
      <c r="A1" s="1266" t="s">
        <v>140</v>
      </c>
      <c r="B1" s="1546" t="str">
        <f>DistrictName</f>
        <v>Stanfield Elementary School District</v>
      </c>
      <c r="C1" s="1625"/>
      <c r="D1" s="1625"/>
      <c r="E1" s="1625"/>
      <c r="F1" s="1266" t="s">
        <v>1</v>
      </c>
      <c r="G1" s="272" t="str">
        <f>Cover!H1</f>
        <v>Pinal</v>
      </c>
      <c r="J1" s="227" t="s">
        <v>57</v>
      </c>
      <c r="K1" s="98" t="str">
        <f>Cover!S1</f>
        <v>110424000</v>
      </c>
      <c r="M1" s="1266" t="s">
        <v>16</v>
      </c>
      <c r="N1" s="273" t="str">
        <f>Cover!C8</f>
        <v>Proposed</v>
      </c>
      <c r="O1" s="274"/>
    </row>
    <row r="2" spans="1:25" ht="22.5" customHeight="1">
      <c r="A2" s="1119" t="s">
        <v>141</v>
      </c>
      <c r="B2" s="275"/>
      <c r="C2" s="275"/>
      <c r="D2" s="1626" t="s">
        <v>142</v>
      </c>
      <c r="E2" s="1626"/>
      <c r="F2" s="1626"/>
      <c r="G2" s="1626"/>
      <c r="H2" s="1626"/>
      <c r="I2" s="1626"/>
      <c r="J2" s="1626"/>
      <c r="K2" s="1626"/>
      <c r="L2" s="1626"/>
      <c r="M2" s="96"/>
      <c r="N2" s="96"/>
    </row>
    <row r="3" spans="1:25" ht="11.25" customHeight="1">
      <c r="A3" s="2" t="s">
        <v>692</v>
      </c>
      <c r="B3" s="276"/>
      <c r="C3" s="277"/>
      <c r="D3" s="278"/>
      <c r="E3" s="279"/>
      <c r="F3" s="280"/>
      <c r="G3" s="281"/>
      <c r="H3" s="282"/>
      <c r="I3" s="1120" t="s">
        <v>143</v>
      </c>
      <c r="J3" s="1627" t="s">
        <v>79</v>
      </c>
      <c r="K3" s="1628"/>
      <c r="L3" s="282" t="s">
        <v>86</v>
      </c>
      <c r="M3" s="3"/>
      <c r="N3" s="3"/>
    </row>
    <row r="4" spans="1:25" ht="11.25" customHeight="1">
      <c r="A4" s="1375" t="s">
        <v>87</v>
      </c>
      <c r="B4" s="116"/>
      <c r="C4" s="1376"/>
      <c r="D4" s="1377" t="s">
        <v>81</v>
      </c>
      <c r="E4" s="1123" t="s">
        <v>144</v>
      </c>
      <c r="F4" s="1378" t="s">
        <v>145</v>
      </c>
      <c r="G4" s="5" t="s">
        <v>82</v>
      </c>
      <c r="H4" s="1378" t="s">
        <v>146</v>
      </c>
      <c r="I4" s="1378" t="s">
        <v>147</v>
      </c>
      <c r="J4" s="1379" t="s">
        <v>129</v>
      </c>
      <c r="K4" s="1379" t="s">
        <v>130</v>
      </c>
      <c r="L4" s="1123" t="s">
        <v>89</v>
      </c>
      <c r="M4" s="3"/>
      <c r="N4" s="3"/>
    </row>
    <row r="5" spans="1:25" ht="11.25" customHeight="1">
      <c r="A5" s="1380"/>
      <c r="B5" s="1381"/>
      <c r="C5" s="1382"/>
      <c r="D5" s="1383" t="s">
        <v>90</v>
      </c>
      <c r="E5" s="172" t="s">
        <v>91</v>
      </c>
      <c r="F5" s="1384" t="s">
        <v>148</v>
      </c>
      <c r="G5" s="171">
        <v>6600</v>
      </c>
      <c r="H5" s="1378">
        <v>6700</v>
      </c>
      <c r="I5" s="1378">
        <v>6800</v>
      </c>
      <c r="J5" s="1385">
        <f>PriorFiscalYear</f>
        <v>2026</v>
      </c>
      <c r="K5" s="1385">
        <f>Cover!E3</f>
        <v>2027</v>
      </c>
      <c r="L5" s="1385" t="s">
        <v>94</v>
      </c>
      <c r="M5" s="3"/>
      <c r="N5" s="3"/>
    </row>
    <row r="6" spans="1:25" ht="12" customHeight="1">
      <c r="A6" s="101" t="s">
        <v>149</v>
      </c>
      <c r="B6" s="96"/>
      <c r="C6" s="175" t="s">
        <v>6</v>
      </c>
      <c r="D6" s="1386">
        <f>+CSFBLBudgFY*0.75</f>
        <v>1991213</v>
      </c>
      <c r="E6" s="1386">
        <f>+CSFBLBudgFY-D6</f>
        <v>663738</v>
      </c>
      <c r="F6" s="1387"/>
      <c r="G6" s="1388"/>
      <c r="H6" s="1389"/>
      <c r="I6" s="1389"/>
      <c r="J6" s="1390">
        <f t="array" ref="J6">[1]!F010F1000</f>
        <v>2314476</v>
      </c>
      <c r="K6" s="1391">
        <f t="shared" ref="K6:K12" si="0">SUM(D6:I6)</f>
        <v>2654951</v>
      </c>
      <c r="L6" s="1392">
        <f t="shared" ref="L6:L11" si="1">IF(J6=K6,0,IF(J6&gt;0,(K6-J6)/J6,""))</f>
        <v>0.14699999999999999</v>
      </c>
      <c r="M6" s="415" t="s">
        <v>6</v>
      </c>
      <c r="N6" s="177"/>
    </row>
    <row r="7" spans="1:25" ht="12" customHeight="1">
      <c r="A7" s="101" t="s">
        <v>150</v>
      </c>
      <c r="B7" s="96"/>
      <c r="C7" s="175" t="s">
        <v>8</v>
      </c>
      <c r="D7" s="1393"/>
      <c r="E7" s="1393"/>
      <c r="F7" s="1393"/>
      <c r="G7" s="1393"/>
      <c r="H7" s="1393"/>
      <c r="I7" s="1393"/>
      <c r="J7" s="1390">
        <f t="array" ref="J7">[1]!F010F2100</f>
        <v>0</v>
      </c>
      <c r="K7" s="1391">
        <f t="shared" si="0"/>
        <v>0</v>
      </c>
      <c r="L7" s="1392">
        <f t="shared" si="1"/>
        <v>0</v>
      </c>
      <c r="M7" s="1394" t="s">
        <v>8</v>
      </c>
      <c r="N7" s="288"/>
      <c r="O7" s="269"/>
      <c r="P7" s="269"/>
      <c r="Q7" s="271"/>
      <c r="R7" s="269"/>
      <c r="S7" s="289"/>
      <c r="T7" s="290"/>
      <c r="U7" s="290"/>
      <c r="V7" s="290"/>
      <c r="W7" s="290"/>
      <c r="X7" s="290"/>
      <c r="Y7" s="290"/>
    </row>
    <row r="8" spans="1:25" ht="12" customHeight="1">
      <c r="A8" s="101" t="s">
        <v>151</v>
      </c>
      <c r="B8" s="96"/>
      <c r="C8" s="175" t="s">
        <v>22</v>
      </c>
      <c r="D8" s="1395"/>
      <c r="E8" s="1395"/>
      <c r="F8" s="6"/>
      <c r="G8" s="6"/>
      <c r="H8" s="1396"/>
      <c r="I8" s="6"/>
      <c r="J8" s="1390">
        <f t="array" ref="J8">[1]!F010F2200</f>
        <v>0</v>
      </c>
      <c r="K8" s="1391">
        <f t="shared" si="0"/>
        <v>0</v>
      </c>
      <c r="L8" s="1392">
        <f t="shared" si="1"/>
        <v>0</v>
      </c>
      <c r="M8" s="1394" t="s">
        <v>22</v>
      </c>
      <c r="N8" s="177"/>
      <c r="O8" s="269"/>
    </row>
    <row r="9" spans="1:25" s="153" customFormat="1" ht="12" customHeight="1">
      <c r="A9" s="1397" t="s">
        <v>152</v>
      </c>
      <c r="B9" s="204"/>
      <c r="C9" s="1431" t="s">
        <v>40</v>
      </c>
      <c r="D9" s="1398"/>
      <c r="E9" s="1398"/>
      <c r="F9" s="1389"/>
      <c r="G9" s="1398"/>
      <c r="H9" s="1398"/>
      <c r="I9" s="1398"/>
      <c r="J9" s="1399">
        <f t="array" ref="J9">[1]!F010F2310</f>
        <v>0</v>
      </c>
      <c r="K9" s="1391">
        <f t="shared" si="0"/>
        <v>0</v>
      </c>
      <c r="L9" s="1400">
        <f t="shared" si="1"/>
        <v>0</v>
      </c>
      <c r="M9" s="415" t="s">
        <v>40</v>
      </c>
      <c r="N9" s="292"/>
    </row>
    <row r="10" spans="1:25" ht="12" customHeight="1">
      <c r="A10" s="1397" t="s">
        <v>153</v>
      </c>
      <c r="B10" s="96"/>
      <c r="C10" s="175" t="s">
        <v>98</v>
      </c>
      <c r="D10" s="1401"/>
      <c r="E10" s="1401"/>
      <c r="F10" s="1401"/>
      <c r="G10" s="1402"/>
      <c r="H10" s="1403"/>
      <c r="I10" s="1404"/>
      <c r="J10" s="1399" cm="1">
        <f t="array" ref="J10">[1]!F010F2510</f>
        <v>0</v>
      </c>
      <c r="K10" s="1391">
        <f t="shared" si="0"/>
        <v>0</v>
      </c>
      <c r="L10" s="1405">
        <f t="shared" si="1"/>
        <v>0</v>
      </c>
      <c r="M10" s="415" t="s">
        <v>98</v>
      </c>
      <c r="N10" s="177"/>
    </row>
    <row r="11" spans="1:25" ht="12" customHeight="1">
      <c r="A11" s="783" t="s">
        <v>1363</v>
      </c>
      <c r="B11" s="96"/>
      <c r="C11" s="175" t="s">
        <v>99</v>
      </c>
      <c r="D11" s="1389"/>
      <c r="E11" s="1389"/>
      <c r="F11" s="1389"/>
      <c r="G11" s="1401"/>
      <c r="H11" s="1402"/>
      <c r="I11" s="1403"/>
      <c r="J11" s="1407">
        <f t="array" ref="J11">[1]!F010F3300</f>
        <v>0</v>
      </c>
      <c r="K11" s="1407">
        <f t="shared" si="0"/>
        <v>0</v>
      </c>
      <c r="L11" s="1408">
        <f t="shared" si="1"/>
        <v>0</v>
      </c>
      <c r="M11" s="415" t="s">
        <v>99</v>
      </c>
      <c r="N11" s="177"/>
    </row>
    <row r="12" spans="1:25" ht="12" customHeight="1">
      <c r="A12" s="1406" t="s">
        <v>154</v>
      </c>
      <c r="B12" s="1283"/>
      <c r="C12" s="175" t="s">
        <v>100</v>
      </c>
      <c r="D12" s="1409"/>
      <c r="E12" s="1409"/>
      <c r="F12" s="1409"/>
      <c r="G12" s="1409"/>
      <c r="H12" s="1070"/>
      <c r="I12" s="1409"/>
      <c r="J12" s="1100">
        <f t="array" ref="J12">[1]!F010F4000</f>
        <v>0</v>
      </c>
      <c r="K12" s="1100">
        <f t="shared" si="0"/>
        <v>0</v>
      </c>
      <c r="L12" s="1409"/>
      <c r="M12" s="415" t="s">
        <v>100</v>
      </c>
    </row>
    <row r="13" spans="1:25" ht="12" customHeight="1">
      <c r="A13" s="1406" t="s">
        <v>155</v>
      </c>
      <c r="B13" s="1283"/>
      <c r="C13" s="175" t="s">
        <v>102</v>
      </c>
      <c r="D13" s="1409"/>
      <c r="E13" s="1409"/>
      <c r="F13" s="1409"/>
      <c r="G13" s="1409"/>
      <c r="H13" s="1409"/>
      <c r="I13" s="1070"/>
      <c r="J13" s="1100">
        <f t="array" ref="J13">[1]!F010F5000</f>
        <v>0</v>
      </c>
      <c r="K13" s="1100">
        <f>SUM(D13:I13)</f>
        <v>0</v>
      </c>
      <c r="L13" s="1409"/>
      <c r="M13" s="415" t="s">
        <v>102</v>
      </c>
    </row>
    <row r="14" spans="1:25" ht="12" customHeight="1">
      <c r="A14" s="783" t="s">
        <v>928</v>
      </c>
      <c r="B14" s="206"/>
      <c r="C14" s="1431" t="s">
        <v>103</v>
      </c>
      <c r="D14" s="1412">
        <f>SUM(D6:D13)</f>
        <v>1991213</v>
      </c>
      <c r="E14" s="1412">
        <f t="shared" ref="E14:K14" si="2">SUM(E6:E13)</f>
        <v>663738</v>
      </c>
      <c r="F14" s="1412">
        <f t="shared" si="2"/>
        <v>0</v>
      </c>
      <c r="G14" s="1412">
        <f t="shared" si="2"/>
        <v>0</v>
      </c>
      <c r="H14" s="1412">
        <f t="shared" si="2"/>
        <v>0</v>
      </c>
      <c r="I14" s="1412">
        <f t="shared" si="2"/>
        <v>0</v>
      </c>
      <c r="J14" s="1412">
        <f t="shared" si="2"/>
        <v>2314476</v>
      </c>
      <c r="K14" s="1412">
        <f t="shared" si="2"/>
        <v>2654951</v>
      </c>
      <c r="L14" s="1392">
        <f>IF(J14=K14,0,IF(J14&gt;0,(K14-J14)/J14,""))</f>
        <v>0.14699999999999999</v>
      </c>
      <c r="M14" s="415" t="s">
        <v>103</v>
      </c>
      <c r="O14" s="294"/>
      <c r="P14" s="294"/>
      <c r="Q14" s="294"/>
      <c r="R14" s="294"/>
      <c r="S14" s="1295"/>
      <c r="T14" s="1295"/>
      <c r="U14" s="1295"/>
      <c r="V14" s="1295"/>
      <c r="W14" s="1295"/>
      <c r="X14" s="1295"/>
    </row>
    <row r="15" spans="1:25" ht="13.2" customHeight="1">
      <c r="A15" s="783" t="s">
        <v>1346</v>
      </c>
      <c r="B15" s="206"/>
      <c r="C15" s="1431" t="s">
        <v>104</v>
      </c>
      <c r="D15" s="1409"/>
      <c r="E15" s="1409"/>
      <c r="F15" s="1409"/>
      <c r="G15" s="1409"/>
      <c r="H15" s="1409"/>
      <c r="I15" s="1409"/>
      <c r="J15" s="1412" cm="1">
        <f t="array" ref="J15">[1]!F010Carryforward</f>
        <v>0</v>
      </c>
      <c r="K15" s="1389">
        <v>0</v>
      </c>
      <c r="L15" s="1409"/>
      <c r="M15" s="415" t="s">
        <v>104</v>
      </c>
    </row>
    <row r="16" spans="1:25">
      <c r="A16" s="1411" t="s">
        <v>926</v>
      </c>
      <c r="B16" s="334"/>
      <c r="C16" s="1410" t="s">
        <v>105</v>
      </c>
      <c r="D16" s="1412">
        <f>D14</f>
        <v>1991213</v>
      </c>
      <c r="E16" s="1412">
        <f t="shared" ref="E16:I16" si="3">E14</f>
        <v>663738</v>
      </c>
      <c r="F16" s="1412">
        <f t="shared" si="3"/>
        <v>0</v>
      </c>
      <c r="G16" s="1412">
        <f t="shared" si="3"/>
        <v>0</v>
      </c>
      <c r="H16" s="1412">
        <f t="shared" si="3"/>
        <v>0</v>
      </c>
      <c r="I16" s="1412">
        <f t="shared" si="3"/>
        <v>0</v>
      </c>
      <c r="J16" s="1412">
        <f>F010TotalExpPY+J15</f>
        <v>2314476</v>
      </c>
      <c r="K16" s="1412">
        <f>F010TotalExp+F010Carryforward</f>
        <v>2654951</v>
      </c>
      <c r="L16" s="1392">
        <f>IF(J16=K16,0,IF(J16&gt;0,(K16-J16)/J16,""))</f>
        <v>0.14699999999999999</v>
      </c>
      <c r="M16" s="416" t="s">
        <v>105</v>
      </c>
    </row>
    <row r="17" spans="1:22">
      <c r="A17" s="1283"/>
      <c r="B17" s="1283"/>
      <c r="C17" s="1283"/>
      <c r="D17" s="1283"/>
      <c r="E17" s="1283"/>
      <c r="F17" s="1283"/>
      <c r="G17" s="1283"/>
      <c r="H17" s="1283"/>
      <c r="I17" s="1283"/>
      <c r="J17" s="1283"/>
      <c r="K17" s="1283"/>
      <c r="L17" s="1413"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83"/>
    </row>
    <row r="18" spans="1:22" hidden="1">
      <c r="A18" s="1283"/>
      <c r="B18" s="1283"/>
      <c r="C18" s="1283"/>
      <c r="D18" s="1283"/>
      <c r="E18" s="1283"/>
      <c r="F18" s="1283"/>
      <c r="G18" s="1283"/>
      <c r="H18" s="1283"/>
      <c r="I18" s="1283"/>
      <c r="J18" s="1283"/>
      <c r="K18" s="1283"/>
      <c r="L18" s="1283"/>
      <c r="M18" s="1283"/>
    </row>
    <row r="19" spans="1:22" hidden="1">
      <c r="A19" s="1283"/>
      <c r="B19" s="1283"/>
      <c r="C19" s="1283"/>
      <c r="D19" s="1283"/>
      <c r="E19" s="1283"/>
      <c r="F19" s="1283"/>
      <c r="G19" s="1283"/>
      <c r="H19" s="1283"/>
      <c r="I19" s="1283"/>
      <c r="J19" s="1283"/>
      <c r="K19" s="1283"/>
      <c r="L19" s="1283"/>
      <c r="M19" s="1283"/>
    </row>
    <row r="20" spans="1:22" hidden="1">
      <c r="A20" s="1283"/>
      <c r="B20" s="1283"/>
      <c r="C20" s="1283"/>
      <c r="D20" s="1283"/>
      <c r="E20" s="1283"/>
      <c r="F20" s="1283"/>
      <c r="G20" s="1283"/>
      <c r="H20" s="1283"/>
      <c r="I20" s="1283"/>
      <c r="J20" s="1283"/>
      <c r="K20" s="1283"/>
      <c r="L20" s="1283"/>
      <c r="M20" s="1283"/>
    </row>
    <row r="21" spans="1:22" hidden="1">
      <c r="A21" s="1283"/>
      <c r="B21" s="1283"/>
      <c r="C21" s="1283"/>
      <c r="D21" s="1283"/>
      <c r="E21" s="1283"/>
      <c r="F21" s="1283"/>
      <c r="G21" s="1283"/>
      <c r="H21" s="1283"/>
      <c r="I21" s="1283"/>
      <c r="J21" s="1283"/>
      <c r="K21" s="1283"/>
      <c r="L21" s="1283"/>
      <c r="M21" s="1283"/>
    </row>
    <row r="22" spans="1:22" hidden="1">
      <c r="A22" s="1283"/>
      <c r="B22" s="1283"/>
      <c r="C22" s="1283"/>
      <c r="D22" s="1283"/>
      <c r="E22" s="1283"/>
      <c r="F22" s="1283"/>
      <c r="G22" s="1283"/>
      <c r="H22" s="1283"/>
      <c r="I22" s="1283"/>
      <c r="J22" s="1283"/>
      <c r="K22" s="1283"/>
      <c r="L22" s="1283"/>
      <c r="M22" s="1283"/>
    </row>
    <row r="23" spans="1:22" hidden="1">
      <c r="A23" s="1283"/>
      <c r="B23" s="1283"/>
      <c r="C23" s="1283"/>
      <c r="D23" s="1283"/>
      <c r="E23" s="1283"/>
      <c r="F23" s="1283"/>
      <c r="G23" s="1283"/>
      <c r="H23" s="1283"/>
      <c r="I23" s="1283"/>
      <c r="J23" s="1283"/>
      <c r="K23" s="1283"/>
      <c r="L23" s="1283"/>
      <c r="M23" s="1283"/>
    </row>
    <row r="24" spans="1:22" hidden="1">
      <c r="A24" s="1283"/>
      <c r="B24" s="1283"/>
      <c r="C24" s="1283"/>
      <c r="D24" s="1283"/>
      <c r="E24" s="1283"/>
      <c r="F24" s="1283"/>
      <c r="G24" s="1283"/>
      <c r="H24" s="1283"/>
      <c r="I24" s="1283"/>
      <c r="J24" s="1283"/>
      <c r="K24" s="1283"/>
      <c r="L24" s="1283"/>
      <c r="M24" s="1283"/>
    </row>
    <row r="25" spans="1:22" hidden="1">
      <c r="A25" s="1283"/>
      <c r="B25" s="1283"/>
      <c r="C25" s="1283"/>
      <c r="D25" s="1283"/>
      <c r="E25" s="1283"/>
      <c r="F25" s="1283"/>
      <c r="G25" s="1283"/>
      <c r="H25" s="1283"/>
      <c r="I25" s="1283"/>
      <c r="J25" s="1283"/>
      <c r="K25" s="1283"/>
      <c r="L25" s="1283"/>
      <c r="M25" s="1283"/>
    </row>
    <row r="26" spans="1:22" hidden="1">
      <c r="A26" s="1283"/>
      <c r="B26" s="1283"/>
      <c r="C26" s="1283"/>
      <c r="D26" s="1283"/>
      <c r="E26" s="1283"/>
      <c r="F26" s="1283"/>
      <c r="G26" s="1283"/>
      <c r="H26" s="1283"/>
      <c r="I26" s="1283"/>
      <c r="J26" s="1283"/>
      <c r="K26" s="1283"/>
      <c r="L26" s="1283"/>
      <c r="M26" s="1283"/>
    </row>
    <row r="27" spans="1:22" ht="22.5" hidden="1" customHeight="1">
      <c r="A27" s="1283"/>
      <c r="B27" s="1283"/>
      <c r="C27" s="1283"/>
      <c r="D27" s="1283"/>
      <c r="E27" s="1283"/>
      <c r="F27" s="1283"/>
      <c r="G27" s="1283"/>
      <c r="H27" s="1283"/>
      <c r="I27" s="1283"/>
      <c r="J27" s="1283"/>
      <c r="K27" s="1283"/>
      <c r="L27" s="1283"/>
      <c r="M27" s="1283"/>
    </row>
    <row r="28" spans="1:22" ht="19.5" hidden="1" customHeight="1">
      <c r="A28" s="1283"/>
      <c r="B28" s="1283"/>
      <c r="C28" s="1283"/>
      <c r="D28" s="1283"/>
      <c r="E28" s="1283"/>
      <c r="F28" s="1283"/>
      <c r="G28" s="1283"/>
      <c r="H28" s="1283"/>
      <c r="I28" s="1283"/>
      <c r="J28" s="1283"/>
      <c r="K28" s="1283"/>
      <c r="L28" s="1283"/>
      <c r="M28" s="1283"/>
    </row>
    <row r="29" spans="1:22" ht="12.75" hidden="1" customHeight="1">
      <c r="A29" s="1283"/>
      <c r="B29" s="1283"/>
      <c r="C29" s="1283"/>
      <c r="D29" s="1283"/>
      <c r="E29" s="1283"/>
      <c r="F29" s="1283"/>
      <c r="G29" s="1283"/>
      <c r="H29" s="1283"/>
      <c r="I29" s="1283"/>
      <c r="J29" s="1283"/>
      <c r="K29" s="1283"/>
      <c r="L29" s="1283"/>
      <c r="M29" s="1283"/>
    </row>
    <row r="30" spans="1:22" ht="18.75" customHeight="1">
      <c r="A30" s="1283"/>
      <c r="B30" s="1283"/>
      <c r="C30" s="1283"/>
      <c r="D30" s="1283"/>
      <c r="E30" s="1283"/>
      <c r="F30" s="1283"/>
      <c r="G30" s="1283"/>
      <c r="H30" s="1283"/>
      <c r="I30" s="1283"/>
      <c r="J30" s="1283"/>
      <c r="K30" s="1283"/>
      <c r="L30" s="1283"/>
      <c r="M30" s="1283"/>
    </row>
    <row r="31" spans="1:22" s="134" customFormat="1" ht="13.2">
      <c r="A31" s="1629" t="s">
        <v>1072</v>
      </c>
      <c r="B31" s="1629"/>
      <c r="C31" s="1629"/>
      <c r="D31" s="1629"/>
      <c r="E31" s="1283"/>
      <c r="F31" s="96"/>
      <c r="G31" s="1283"/>
      <c r="H31" s="1283"/>
      <c r="I31" s="1283"/>
      <c r="J31" s="1283"/>
      <c r="K31" s="1283"/>
      <c r="L31" s="1283"/>
      <c r="M31" s="1283"/>
      <c r="N31" s="96"/>
      <c r="O31" s="96"/>
      <c r="P31" s="96"/>
      <c r="Q31" s="96"/>
      <c r="R31" s="96"/>
      <c r="S31" s="96"/>
      <c r="T31" s="1630"/>
      <c r="U31" s="1269"/>
      <c r="V31" s="295"/>
    </row>
    <row r="32" spans="1:22" s="134" customFormat="1" ht="25.5" customHeight="1">
      <c r="A32" s="1631" t="s">
        <v>1364</v>
      </c>
      <c r="B32" s="1632"/>
      <c r="C32" s="1433" t="s">
        <v>106</v>
      </c>
      <c r="D32" s="1414" cm="1">
        <f t="array" ref="D32">'[1]Page 3'!CSFBLBudgFY</f>
        <v>2314476</v>
      </c>
      <c r="E32" s="1283"/>
      <c r="F32" s="1283"/>
      <c r="G32" s="1283"/>
      <c r="H32" s="1283"/>
      <c r="I32" s="1283"/>
      <c r="J32" s="1283"/>
      <c r="K32" s="1283"/>
      <c r="L32" s="1283"/>
      <c r="M32" s="1283"/>
      <c r="N32" s="96"/>
      <c r="O32" s="1587"/>
      <c r="P32" s="1587"/>
      <c r="Q32" s="1587"/>
      <c r="R32" s="1587"/>
      <c r="S32" s="96"/>
      <c r="T32" s="1630"/>
      <c r="U32" s="1275"/>
      <c r="V32" s="295"/>
    </row>
    <row r="33" spans="1:22" s="134" customFormat="1" ht="36" customHeight="1">
      <c r="A33" s="1617" t="s">
        <v>1365</v>
      </c>
      <c r="B33" s="1618"/>
      <c r="C33" s="1415" t="s">
        <v>107</v>
      </c>
      <c r="D33" s="1425">
        <f>40734+1280+31925+47502+1405</f>
        <v>122846</v>
      </c>
      <c r="E33" s="1312" t="str">
        <f>IF(AND(CSFBLCurrFY&lt;&gt;0,CSFActualCurrFY=""),"Please enter prior year CSF actual expenditures on line 11.","")</f>
        <v/>
      </c>
      <c r="F33" s="1283"/>
      <c r="G33" s="1283"/>
      <c r="H33" s="1283"/>
      <c r="I33" s="1283"/>
      <c r="J33" s="1283"/>
      <c r="K33" s="1283"/>
      <c r="L33" s="1283"/>
      <c r="M33" s="1283"/>
      <c r="N33" s="96"/>
      <c r="O33" s="96"/>
      <c r="P33" s="96"/>
      <c r="Q33" s="96"/>
      <c r="R33" s="96"/>
      <c r="S33" s="96"/>
      <c r="T33" s="96"/>
      <c r="U33" s="96"/>
      <c r="V33" s="295"/>
    </row>
    <row r="34" spans="1:22" s="134" customFormat="1" ht="24" customHeight="1">
      <c r="A34" s="1622" t="s">
        <v>995</v>
      </c>
      <c r="B34" s="1623"/>
      <c r="C34" s="1416" t="s">
        <v>108</v>
      </c>
      <c r="D34" s="1417">
        <f>D32-D33</f>
        <v>2191630</v>
      </c>
      <c r="E34" s="1283"/>
      <c r="F34" s="1283"/>
      <c r="G34" s="1283"/>
      <c r="H34" s="1283"/>
      <c r="I34" s="1283"/>
      <c r="J34" s="1283"/>
      <c r="K34" s="1283"/>
      <c r="L34" s="1283"/>
      <c r="M34" s="1283"/>
      <c r="N34" s="120"/>
      <c r="O34" s="207"/>
      <c r="P34" s="207"/>
      <c r="Q34" s="207"/>
      <c r="R34" s="96"/>
      <c r="S34" s="96"/>
      <c r="T34" s="1267"/>
      <c r="U34" s="96"/>
      <c r="V34" s="295"/>
    </row>
    <row r="35" spans="1:22" s="134" customFormat="1" ht="22.5" customHeight="1">
      <c r="A35" s="1617" t="s">
        <v>1366</v>
      </c>
      <c r="B35" s="1618"/>
      <c r="C35" s="1415" t="s">
        <v>109</v>
      </c>
      <c r="D35" s="1426">
        <v>70000</v>
      </c>
      <c r="E35" s="1283"/>
      <c r="F35" s="1283"/>
      <c r="G35" s="1283"/>
      <c r="H35" s="1283"/>
      <c r="I35" s="1283"/>
      <c r="J35" s="1283"/>
      <c r="K35" s="1283"/>
      <c r="L35" s="1283"/>
      <c r="M35" s="1283"/>
      <c r="N35" s="96"/>
      <c r="O35" s="1587"/>
      <c r="P35" s="1587"/>
      <c r="Q35" s="1587"/>
      <c r="R35" s="1587"/>
      <c r="S35" s="96"/>
      <c r="T35" s="96"/>
      <c r="U35" s="96"/>
      <c r="V35" s="295"/>
    </row>
    <row r="36" spans="1:22" s="297" customFormat="1" ht="18.75" customHeight="1">
      <c r="A36" s="1418" t="s">
        <v>1362</v>
      </c>
      <c r="B36" s="1503">
        <f>CSFAllocation</f>
        <v>883</v>
      </c>
      <c r="C36" s="1415" t="s">
        <v>110</v>
      </c>
      <c r="D36" s="1426">
        <f>883*NonAOIRegEdWgtdADM</f>
        <v>393321</v>
      </c>
      <c r="E36" s="1312"/>
      <c r="F36" s="1283"/>
      <c r="G36" s="1283"/>
      <c r="H36" s="1283"/>
      <c r="I36" s="1419"/>
      <c r="J36" s="1419"/>
      <c r="K36" s="1283"/>
      <c r="L36" s="1283"/>
      <c r="M36" s="1419"/>
      <c r="N36" s="298"/>
      <c r="O36" s="1624"/>
      <c r="P36" s="1624"/>
      <c r="Q36" s="1624"/>
      <c r="R36" s="1624"/>
      <c r="S36" s="298"/>
      <c r="T36" s="299"/>
      <c r="U36" s="300"/>
      <c r="V36" s="301"/>
    </row>
    <row r="37" spans="1:22" s="134" customFormat="1" ht="22.5" customHeight="1">
      <c r="A37" s="1617" t="s">
        <v>1367</v>
      </c>
      <c r="B37" s="1618"/>
      <c r="C37" s="1415" t="s">
        <v>111</v>
      </c>
      <c r="D37" s="1426"/>
      <c r="E37" s="1283"/>
      <c r="F37" s="1283"/>
      <c r="G37" s="1283"/>
      <c r="H37" s="1283"/>
      <c r="I37" s="1283"/>
      <c r="J37" s="1283"/>
      <c r="K37" s="1283"/>
      <c r="L37" s="1283"/>
      <c r="M37" s="1283"/>
      <c r="N37" s="120"/>
      <c r="O37" s="3"/>
      <c r="P37" s="96"/>
      <c r="Q37" s="96"/>
      <c r="R37" s="96"/>
      <c r="S37" s="96"/>
      <c r="T37" s="1267"/>
      <c r="U37" s="1275"/>
      <c r="V37" s="295"/>
    </row>
    <row r="38" spans="1:22" s="134" customFormat="1" ht="9.75" customHeight="1">
      <c r="A38" s="1420"/>
      <c r="B38" s="206"/>
      <c r="C38" s="206"/>
      <c r="D38" s="1421"/>
      <c r="E38" s="1283"/>
      <c r="F38" s="1283"/>
      <c r="G38" s="1283"/>
      <c r="H38" s="1283"/>
      <c r="I38" s="1283"/>
      <c r="J38" s="1283"/>
      <c r="K38" s="1283"/>
      <c r="L38" s="1283"/>
      <c r="M38" s="1283"/>
      <c r="N38" s="120"/>
      <c r="O38" s="96"/>
      <c r="P38" s="1587"/>
      <c r="Q38" s="1587"/>
      <c r="R38" s="1587"/>
      <c r="S38" s="96"/>
      <c r="T38" s="1267"/>
      <c r="U38" s="1275"/>
      <c r="V38" s="295"/>
    </row>
    <row r="39" spans="1:22" s="134" customFormat="1" ht="23.25" customHeight="1" thickBot="1">
      <c r="A39" s="1619" t="s">
        <v>1368</v>
      </c>
      <c r="B39" s="1620"/>
      <c r="C39" s="1422" t="s">
        <v>112</v>
      </c>
      <c r="D39" s="1427">
        <f>SUM(D34:D37)</f>
        <v>2654951</v>
      </c>
      <c r="E39" s="1283"/>
      <c r="F39" s="1283"/>
      <c r="G39" s="1283"/>
      <c r="H39" s="1283"/>
      <c r="I39" s="1283"/>
      <c r="J39" s="1283"/>
      <c r="K39" s="1283"/>
      <c r="L39" s="1283"/>
      <c r="M39" s="1283"/>
      <c r="N39" s="116"/>
      <c r="P39" s="116"/>
      <c r="Q39" s="116"/>
      <c r="R39" s="96"/>
      <c r="S39" s="96"/>
      <c r="T39" s="1267"/>
      <c r="U39" s="1275"/>
      <c r="V39" s="295"/>
    </row>
    <row r="40" spans="1:22" s="134" customFormat="1" ht="8.25" customHeight="1" thickTop="1">
      <c r="A40" s="96"/>
      <c r="B40" s="1283"/>
      <c r="C40" s="1283"/>
      <c r="D40" s="1283"/>
      <c r="E40" s="1283"/>
      <c r="F40" s="1283"/>
      <c r="G40" s="1283"/>
      <c r="H40" s="1283"/>
      <c r="I40" s="1283"/>
      <c r="J40" s="1283"/>
      <c r="K40" s="1275"/>
      <c r="L40" s="1283"/>
      <c r="M40" s="1283"/>
      <c r="N40" s="207"/>
      <c r="O40" s="96"/>
      <c r="P40" s="96"/>
      <c r="Q40" s="96"/>
      <c r="R40" s="1267"/>
      <c r="S40" s="1275"/>
      <c r="T40" s="1621"/>
      <c r="U40" s="1621"/>
      <c r="V40" s="303"/>
    </row>
    <row r="41" spans="1:22" s="134" customFormat="1" ht="13.2">
      <c r="A41" s="811" t="s">
        <v>156</v>
      </c>
      <c r="B41" s="1283"/>
      <c r="C41" s="119"/>
      <c r="D41" s="1283"/>
      <c r="E41" s="1283"/>
      <c r="F41" s="1283"/>
      <c r="G41" s="1283"/>
      <c r="H41" s="1283"/>
      <c r="I41" s="1283"/>
      <c r="J41" s="1283"/>
      <c r="K41" s="1283"/>
      <c r="L41" s="1283"/>
      <c r="M41" s="1283"/>
      <c r="N41" s="96"/>
      <c r="O41" s="304"/>
      <c r="P41" s="304"/>
      <c r="Q41" s="304"/>
      <c r="R41" s="96"/>
      <c r="S41" s="96"/>
      <c r="T41" s="96"/>
      <c r="U41" s="96"/>
      <c r="V41" s="303"/>
    </row>
    <row r="42" spans="1:22" s="134" customFormat="1" ht="13.2">
      <c r="A42" s="207" t="s">
        <v>942</v>
      </c>
      <c r="N42" s="96"/>
      <c r="O42" s="96"/>
      <c r="P42" s="96"/>
      <c r="Q42" s="96"/>
      <c r="R42" s="96"/>
      <c r="S42" s="96"/>
      <c r="T42" s="96"/>
      <c r="U42" s="96"/>
      <c r="V42" s="303"/>
    </row>
    <row r="43" spans="1:22" s="134" customFormat="1" ht="15.6">
      <c r="A43" s="306"/>
      <c r="B43" s="1293"/>
      <c r="C43" s="1293"/>
      <c r="D43" s="1293"/>
      <c r="E43" s="1293"/>
      <c r="F43" s="1293"/>
      <c r="G43" s="1293"/>
      <c r="H43" s="1293"/>
      <c r="I43" s="1293"/>
      <c r="J43" s="1293"/>
      <c r="K43" s="1293"/>
      <c r="L43" s="1293"/>
    </row>
  </sheetData>
  <sheetProtection sheet="1"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29" priority="1">
      <formula>LEN(TRIM(K15))=0</formula>
    </cfRule>
  </conditionalFormatting>
  <conditionalFormatting sqref="L17">
    <cfRule type="expression" dxfId="28" priority="2">
      <formula>ROUND(F010TotalExp,0)&gt;ROUND(CSFBLBudgFY,0)</formula>
    </cfRule>
  </conditionalFormatting>
  <dataValidations count="2">
    <dataValidation type="whole" operator="lessThanOrEqual" allowBlank="1" showInputMessage="1" showErrorMessage="1" promptTitle="Reductions/Decreases" prompt="Enter reductions/decreases as negative amounts." sqref="U31" xr:uid="{00000000-0002-0000-0300-000000000000}">
      <formula1>0</formula1>
    </dataValidation>
    <dataValidation type="whole" operator="lessThanOrEqual" allowBlank="1" showInputMessage="1" showErrorMessage="1" prompt="This amount must be negative." sqref="U32 U37" xr:uid="{00000000-0002-0000-0300-000001000000}">
      <formula1>0</formula1>
    </dataValidation>
  </dataValidations>
  <hyperlinks>
    <hyperlink ref="C16" location="Page3Line9" display="11." xr:uid="{00000000-0004-0000-0300-000000000000}"/>
    <hyperlink ref="C33" location="Page3Line12" display="13." xr:uid="{00000000-0004-0000-0300-000001000000}"/>
    <hyperlink ref="C35" location="Page3Line14" display="15." xr:uid="{00000000-0004-0000-0300-000002000000}"/>
    <hyperlink ref="C37" location="Page3Line16" display="17." xr:uid="{00000000-0004-0000-0300-000003000000}"/>
    <hyperlink ref="C9" location="Page3Line4" display="'4." xr:uid="{00000000-0004-0000-0300-000004000000}"/>
    <hyperlink ref="C36" location="Page3Line15" display="16." xr:uid="{00000000-0004-0000-0300-000005000000}"/>
    <hyperlink ref="C15" location="PlannedCarryforward" display="'10." xr:uid="{00000000-0004-0000-0300-000006000000}"/>
    <hyperlink ref="C14" location="Page3l9" display="'9." xr:uid="{00000000-0004-0000-0300-000007000000}"/>
    <hyperlink ref="A3" location="Page3Gen" display="Instructions" xr:uid="{00000000-0004-0000-0300-000008000000}"/>
  </hyperlinks>
  <printOptions horizontalCentered="1"/>
  <pageMargins left="0.25" right="0.25" top="0.25" bottom="0.25" header="0" footer="0.15"/>
  <pageSetup paperSize="5" scale="85" orientation="landscape" r:id="rId1"/>
  <headerFooter alignWithMargins="0">
    <oddFooter>&amp;L&amp;"Times New Roman,Bold"&amp;9Rev. 5/26&amp;K000000 Arizona Department of Education and Auditor General&amp;C&amp;"Times New Roman,Regular"&amp;9&amp;D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P43"/>
  <sheetViews>
    <sheetView showGridLines="0" topLeftCell="A7" zoomScaleSheetLayoutView="100" workbookViewId="0">
      <selection activeCell="B35" sqref="B35"/>
    </sheetView>
  </sheetViews>
  <sheetFormatPr defaultColWidth="8.81640625" defaultRowHeight="15"/>
  <cols>
    <col min="1" max="1" width="25.81640625" customWidth="1"/>
    <col min="2" max="2" width="12" customWidth="1"/>
    <col min="3" max="3" width="3" customWidth="1"/>
    <col min="4" max="9" width="10.81640625" customWidth="1"/>
    <col min="10" max="11" width="12.81640625" customWidth="1"/>
    <col min="12" max="14" width="10.81640625" customWidth="1"/>
    <col min="15" max="15" width="3.453125" style="290" customWidth="1"/>
    <col min="16" max="16" width="3" customWidth="1"/>
    <col min="17" max="18" width="8.81640625" customWidth="1"/>
  </cols>
  <sheetData>
    <row r="1" spans="1:16">
      <c r="A1" s="1266" t="s">
        <v>56</v>
      </c>
      <c r="B1" s="1546" t="str">
        <f>DistrictName</f>
        <v>Stanfield Elementary School District</v>
      </c>
      <c r="C1" s="1625"/>
      <c r="D1" s="1625"/>
      <c r="E1" s="1625"/>
      <c r="F1" s="307"/>
      <c r="G1" s="1266" t="s">
        <v>1</v>
      </c>
      <c r="H1" s="272" t="str">
        <f>Cover!H1</f>
        <v>Pinal</v>
      </c>
      <c r="K1" s="227" t="s">
        <v>57</v>
      </c>
      <c r="L1" s="98" t="str">
        <f>Cover!S1</f>
        <v>110424000</v>
      </c>
      <c r="M1" s="1266" t="s">
        <v>16</v>
      </c>
      <c r="N1" s="308" t="str">
        <f>Cover!C8</f>
        <v>Proposed</v>
      </c>
      <c r="O1" s="148"/>
      <c r="P1" s="148"/>
    </row>
    <row r="2" spans="1:16">
      <c r="A2" s="1301"/>
      <c r="B2" s="138"/>
      <c r="C2" s="138"/>
      <c r="D2" s="138"/>
      <c r="E2" s="138"/>
      <c r="F2" s="138"/>
      <c r="G2" s="138"/>
      <c r="H2" s="1301"/>
      <c r="I2" s="138"/>
      <c r="J2" s="138"/>
      <c r="K2" s="138"/>
      <c r="L2" s="138"/>
      <c r="M2" s="1301"/>
      <c r="N2" s="138"/>
      <c r="O2" s="1287"/>
      <c r="P2" s="138"/>
    </row>
    <row r="3" spans="1:16" ht="15.6">
      <c r="A3" s="309" t="s">
        <v>157</v>
      </c>
      <c r="B3" s="310"/>
      <c r="C3" s="97"/>
      <c r="D3" s="1644" t="s">
        <v>158</v>
      </c>
      <c r="E3" s="1644"/>
      <c r="F3" s="1644"/>
      <c r="G3" s="1644"/>
      <c r="H3" s="1644"/>
      <c r="I3" s="1644"/>
      <c r="J3" s="1644"/>
      <c r="K3" s="1644"/>
      <c r="L3" s="1644"/>
      <c r="M3" s="1644"/>
      <c r="N3" s="157"/>
      <c r="O3" s="158"/>
      <c r="P3" s="97"/>
    </row>
    <row r="4" spans="1:16" ht="24.6">
      <c r="A4" s="1472" t="s">
        <v>692</v>
      </c>
      <c r="B4" s="99"/>
      <c r="C4" s="99"/>
      <c r="D4" s="1635" t="s">
        <v>159</v>
      </c>
      <c r="E4" s="1121" t="s">
        <v>160</v>
      </c>
      <c r="F4" s="1637" t="s">
        <v>161</v>
      </c>
      <c r="G4" s="1637" t="s">
        <v>162</v>
      </c>
      <c r="H4" s="1637" t="s">
        <v>163</v>
      </c>
      <c r="I4" s="1637" t="s">
        <v>164</v>
      </c>
      <c r="J4" s="311"/>
      <c r="K4" s="312" t="s">
        <v>79</v>
      </c>
      <c r="L4" s="313"/>
      <c r="M4" s="314"/>
      <c r="N4" s="158"/>
      <c r="O4"/>
    </row>
    <row r="5" spans="1:16" ht="12" customHeight="1">
      <c r="A5" s="101"/>
      <c r="B5" s="96"/>
      <c r="C5" s="96"/>
      <c r="D5" s="1636"/>
      <c r="E5" s="1122" t="s">
        <v>165</v>
      </c>
      <c r="F5" s="1639"/>
      <c r="G5" s="1638"/>
      <c r="H5" s="1639"/>
      <c r="I5" s="1639"/>
      <c r="J5" s="1123" t="s">
        <v>166</v>
      </c>
      <c r="K5" s="5" t="s">
        <v>84</v>
      </c>
      <c r="L5" s="161" t="s">
        <v>85</v>
      </c>
      <c r="M5" s="161" t="s">
        <v>86</v>
      </c>
      <c r="N5" s="158"/>
      <c r="O5"/>
    </row>
    <row r="6" spans="1:16" ht="12" customHeight="1">
      <c r="A6" s="1296" t="s">
        <v>87</v>
      </c>
      <c r="C6" s="96"/>
      <c r="D6" s="1636"/>
      <c r="E6" s="1122" t="s">
        <v>167</v>
      </c>
      <c r="F6" s="1639"/>
      <c r="G6" s="1638"/>
      <c r="H6" s="1639"/>
      <c r="I6" s="1639"/>
      <c r="J6" s="1123" t="s">
        <v>168</v>
      </c>
      <c r="K6" s="5" t="s">
        <v>3</v>
      </c>
      <c r="L6" s="161" t="s">
        <v>3</v>
      </c>
      <c r="M6" s="161" t="s">
        <v>89</v>
      </c>
      <c r="N6" s="158"/>
      <c r="O6"/>
    </row>
    <row r="7" spans="1:16" ht="24.6">
      <c r="A7" s="167"/>
      <c r="B7" s="168"/>
      <c r="C7" s="169"/>
      <c r="D7" s="170">
        <v>6440</v>
      </c>
      <c r="E7" s="170" t="s">
        <v>169</v>
      </c>
      <c r="F7" s="5">
        <v>6655</v>
      </c>
      <c r="G7" s="170">
        <v>6700</v>
      </c>
      <c r="H7" s="170" t="s">
        <v>170</v>
      </c>
      <c r="I7" s="315" t="s">
        <v>171</v>
      </c>
      <c r="J7" s="316" t="s">
        <v>172</v>
      </c>
      <c r="K7" s="171">
        <f>PriorFiscalYear</f>
        <v>2026</v>
      </c>
      <c r="L7" s="161">
        <f>Cover!E3</f>
        <v>2027</v>
      </c>
      <c r="M7" s="170" t="s">
        <v>94</v>
      </c>
      <c r="N7" s="158"/>
      <c r="O7"/>
    </row>
    <row r="8" spans="1:16" ht="13.5" customHeight="1">
      <c r="A8" s="317" t="s">
        <v>1073</v>
      </c>
      <c r="B8" s="318"/>
      <c r="C8" s="319" t="s">
        <v>6</v>
      </c>
      <c r="D8" s="6"/>
      <c r="E8" s="6"/>
      <c r="F8" s="6"/>
      <c r="G8" s="6"/>
      <c r="H8" s="6"/>
      <c r="I8" s="6"/>
      <c r="J8" s="6"/>
      <c r="K8" s="1092">
        <f>[1]!F610Override</f>
        <v>0</v>
      </c>
      <c r="L8" s="1100">
        <f>SUM(D8:J8)</f>
        <v>0</v>
      </c>
      <c r="M8" s="1095">
        <f>IF(K8=L8,0,IF(K8&gt;0,(L8-K8)/K8,""))</f>
        <v>0</v>
      </c>
      <c r="N8" s="322" t="s">
        <v>6</v>
      </c>
      <c r="O8"/>
    </row>
    <row r="9" spans="1:16" ht="12" customHeight="1">
      <c r="A9" s="323" t="s">
        <v>173</v>
      </c>
      <c r="B9" s="1297"/>
      <c r="C9" s="324"/>
      <c r="D9" s="325"/>
      <c r="E9" s="325"/>
      <c r="F9" s="1088"/>
      <c r="G9" s="326"/>
      <c r="H9" s="1088"/>
      <c r="I9" s="1089"/>
      <c r="J9" s="1092"/>
      <c r="K9" s="1099"/>
      <c r="L9" s="1099"/>
      <c r="M9" s="1099"/>
      <c r="N9" s="1320"/>
      <c r="O9"/>
    </row>
    <row r="10" spans="1:16" ht="12" customHeight="1">
      <c r="A10" s="101" t="s">
        <v>174</v>
      </c>
      <c r="B10" s="96"/>
      <c r="C10" s="328" t="s">
        <v>8</v>
      </c>
      <c r="D10" s="38"/>
      <c r="E10" s="38">
        <v>72610</v>
      </c>
      <c r="F10" s="1090"/>
      <c r="G10" s="39">
        <v>369</v>
      </c>
      <c r="H10" s="1090"/>
      <c r="I10" s="1091"/>
      <c r="J10" s="1093">
        <v>8353</v>
      </c>
      <c r="K10" s="1165">
        <f>[1]!F610F1000</f>
        <v>81332</v>
      </c>
      <c r="L10" s="1165">
        <f>SUM(D10:J10)</f>
        <v>81332</v>
      </c>
      <c r="M10" s="1166">
        <f>IF(K10=L10,0,IF(K10&gt;0,(L10-K10)/K10,""))</f>
        <v>0</v>
      </c>
      <c r="N10" s="1094" t="s">
        <v>8</v>
      </c>
      <c r="O10"/>
    </row>
    <row r="11" spans="1:16" ht="12" customHeight="1">
      <c r="A11" s="101" t="s">
        <v>996</v>
      </c>
      <c r="B11" s="96"/>
      <c r="D11" s="325"/>
      <c r="E11" s="325"/>
      <c r="F11" s="329"/>
      <c r="G11" s="330"/>
      <c r="H11" s="1088"/>
      <c r="I11" s="1089"/>
      <c r="J11" s="1092"/>
      <c r="K11" s="1099"/>
      <c r="L11" s="1099"/>
      <c r="M11" s="1099"/>
      <c r="N11" s="307"/>
      <c r="O11"/>
    </row>
    <row r="12" spans="1:16" ht="12" customHeight="1">
      <c r="A12" s="101" t="s">
        <v>997</v>
      </c>
      <c r="B12" s="96"/>
      <c r="C12" s="328" t="s">
        <v>22</v>
      </c>
      <c r="D12" s="13"/>
      <c r="E12" s="13">
        <v>17650</v>
      </c>
      <c r="F12" s="88"/>
      <c r="G12" s="40"/>
      <c r="H12" s="1090"/>
      <c r="I12" s="1091"/>
      <c r="J12" s="1093"/>
      <c r="K12" s="1165">
        <f>[1]!F610F21002200</f>
        <v>17650</v>
      </c>
      <c r="L12" s="1165">
        <f>SUM(D12:J12)</f>
        <v>17650</v>
      </c>
      <c r="M12" s="1166">
        <f>IF(K12=L12,0,IF(K12&gt;0,(L12-K12)/K12,""))</f>
        <v>0</v>
      </c>
      <c r="N12" s="1094" t="s">
        <v>22</v>
      </c>
      <c r="O12"/>
    </row>
    <row r="13" spans="1:16" ht="12" customHeight="1">
      <c r="A13" s="101" t="s">
        <v>175</v>
      </c>
      <c r="B13" s="96"/>
      <c r="C13" s="328" t="s">
        <v>40</v>
      </c>
      <c r="D13" s="6"/>
      <c r="E13" s="332"/>
      <c r="F13" s="88"/>
      <c r="G13" s="6">
        <v>10000</v>
      </c>
      <c r="H13" s="332"/>
      <c r="I13" s="6"/>
      <c r="J13" s="6">
        <v>241910</v>
      </c>
      <c r="K13" s="1096">
        <f>[1]!F610F2300240025002900</f>
        <v>251910</v>
      </c>
      <c r="L13" s="1097">
        <f t="shared" ref="L13:L18" si="0">SUM(D13:J13)</f>
        <v>251910</v>
      </c>
      <c r="M13" s="1098">
        <f t="shared" ref="M13:M18" si="1">IF(K13=L13,0,IF(K13&gt;0,(L13-K13)/K13,""))</f>
        <v>0</v>
      </c>
      <c r="N13" s="322" t="s">
        <v>40</v>
      </c>
      <c r="O13"/>
    </row>
    <row r="14" spans="1:16" ht="12" customHeight="1">
      <c r="A14" s="101" t="s">
        <v>998</v>
      </c>
      <c r="B14" s="96"/>
      <c r="C14" s="328" t="s">
        <v>98</v>
      </c>
      <c r="D14" s="6"/>
      <c r="E14" s="332"/>
      <c r="F14" s="88"/>
      <c r="G14" s="6"/>
      <c r="H14" s="332"/>
      <c r="I14" s="332"/>
      <c r="J14" s="6"/>
      <c r="K14" s="320">
        <f>[1]!F610F2600</f>
        <v>0</v>
      </c>
      <c r="L14" s="321">
        <f t="shared" si="0"/>
        <v>0</v>
      </c>
      <c r="M14" s="193">
        <f t="shared" si="1"/>
        <v>0</v>
      </c>
      <c r="N14" s="322" t="s">
        <v>98</v>
      </c>
      <c r="O14"/>
    </row>
    <row r="15" spans="1:16" ht="12" customHeight="1">
      <c r="A15" s="101" t="s">
        <v>999</v>
      </c>
      <c r="B15" s="96"/>
      <c r="C15" s="328" t="s">
        <v>99</v>
      </c>
      <c r="D15" s="6"/>
      <c r="E15" s="332"/>
      <c r="F15" s="88"/>
      <c r="G15" s="6"/>
      <c r="H15" s="332"/>
      <c r="I15" s="332"/>
      <c r="J15" s="6">
        <v>3475</v>
      </c>
      <c r="K15" s="333">
        <f>[1]!F610F2700</f>
        <v>3475</v>
      </c>
      <c r="L15" s="321">
        <f t="shared" si="0"/>
        <v>3475</v>
      </c>
      <c r="M15" s="193">
        <f t="shared" si="1"/>
        <v>0</v>
      </c>
      <c r="N15" s="322" t="s">
        <v>99</v>
      </c>
      <c r="O15"/>
    </row>
    <row r="16" spans="1:16" ht="12" customHeight="1">
      <c r="A16" s="101" t="s">
        <v>1000</v>
      </c>
      <c r="B16" s="96"/>
      <c r="C16" s="328" t="s">
        <v>100</v>
      </c>
      <c r="D16" s="6"/>
      <c r="E16" s="332"/>
      <c r="F16" s="88"/>
      <c r="G16" s="6"/>
      <c r="H16" s="332"/>
      <c r="I16" s="332"/>
      <c r="J16" s="6">
        <v>5881</v>
      </c>
      <c r="K16" s="333">
        <f>[1]!F610F3000</f>
        <v>5881</v>
      </c>
      <c r="L16" s="321">
        <f t="shared" si="0"/>
        <v>5881</v>
      </c>
      <c r="M16" s="193">
        <f t="shared" si="1"/>
        <v>0</v>
      </c>
      <c r="N16" s="322" t="s">
        <v>100</v>
      </c>
      <c r="O16"/>
    </row>
    <row r="17" spans="1:16" ht="12" customHeight="1">
      <c r="A17" s="101" t="s">
        <v>1001</v>
      </c>
      <c r="B17" s="96"/>
      <c r="C17" s="328" t="s">
        <v>102</v>
      </c>
      <c r="D17" s="6"/>
      <c r="E17" s="332"/>
      <c r="F17" s="88"/>
      <c r="G17" s="6"/>
      <c r="H17" s="332"/>
      <c r="I17" s="332"/>
      <c r="J17" s="6"/>
      <c r="K17" s="333">
        <f>[1]!F610F4000</f>
        <v>0</v>
      </c>
      <c r="L17" s="321">
        <f t="shared" si="0"/>
        <v>0</v>
      </c>
      <c r="M17" s="193">
        <f t="shared" si="1"/>
        <v>0</v>
      </c>
      <c r="N17" s="322" t="s">
        <v>102</v>
      </c>
      <c r="O17"/>
    </row>
    <row r="18" spans="1:16" ht="12" customHeight="1">
      <c r="A18" s="101" t="s">
        <v>1002</v>
      </c>
      <c r="B18" s="206"/>
      <c r="C18" s="182" t="s">
        <v>103</v>
      </c>
      <c r="D18" s="1327"/>
      <c r="E18" s="1327"/>
      <c r="F18" s="1327"/>
      <c r="G18" s="1327"/>
      <c r="H18" s="1328"/>
      <c r="I18" s="1328"/>
      <c r="J18" s="1327"/>
      <c r="K18" s="1329">
        <f>[1]!F610F5000</f>
        <v>0</v>
      </c>
      <c r="L18" s="321">
        <f t="shared" si="0"/>
        <v>0</v>
      </c>
      <c r="M18" s="193">
        <f t="shared" si="1"/>
        <v>0</v>
      </c>
      <c r="N18" s="322" t="s">
        <v>103</v>
      </c>
      <c r="O18"/>
    </row>
    <row r="19" spans="1:16" ht="12" customHeight="1">
      <c r="A19" s="101" t="s">
        <v>929</v>
      </c>
      <c r="B19" s="206"/>
      <c r="C19" s="1440" t="s">
        <v>104</v>
      </c>
      <c r="D19" s="1100">
        <f>D10+SUM(D12:D18)</f>
        <v>0</v>
      </c>
      <c r="E19" s="1100">
        <f t="shared" ref="E19:L19" si="2">E10+SUM(E12:E18)</f>
        <v>90260</v>
      </c>
      <c r="F19" s="1100">
        <f t="shared" si="2"/>
        <v>0</v>
      </c>
      <c r="G19" s="1100">
        <f t="shared" si="2"/>
        <v>10369</v>
      </c>
      <c r="H19" s="1100">
        <f t="shared" si="2"/>
        <v>0</v>
      </c>
      <c r="I19" s="1100">
        <f t="shared" si="2"/>
        <v>0</v>
      </c>
      <c r="J19" s="1100">
        <f t="shared" si="2"/>
        <v>259619</v>
      </c>
      <c r="K19" s="1100">
        <f t="shared" si="2"/>
        <v>360248</v>
      </c>
      <c r="L19" s="1100">
        <f t="shared" si="2"/>
        <v>360248</v>
      </c>
      <c r="M19" s="1330">
        <f>IF(K19=L19,0,IF(K19&gt;0,(L19-K19)/K19,""))</f>
        <v>0</v>
      </c>
      <c r="N19" s="322" t="s">
        <v>104</v>
      </c>
      <c r="O19"/>
    </row>
    <row r="20" spans="1:16" ht="12" customHeight="1">
      <c r="A20" s="101" t="s">
        <v>1346</v>
      </c>
      <c r="B20" s="206"/>
      <c r="C20" s="1439" t="s">
        <v>105</v>
      </c>
      <c r="D20" s="1327"/>
      <c r="E20" s="1327"/>
      <c r="F20" s="1327"/>
      <c r="G20" s="1327"/>
      <c r="H20" s="1327"/>
      <c r="I20" s="1327"/>
      <c r="J20" s="1327"/>
      <c r="K20" s="1100">
        <f>[1]!F610Carryforward</f>
        <v>0</v>
      </c>
      <c r="L20" s="1447">
        <v>65473</v>
      </c>
      <c r="M20" s="1327"/>
      <c r="N20" s="322" t="s">
        <v>105</v>
      </c>
      <c r="O20"/>
    </row>
    <row r="21" spans="1:16" ht="24" customHeight="1">
      <c r="A21" s="1634" t="s">
        <v>927</v>
      </c>
      <c r="B21" s="1620"/>
      <c r="C21" s="1449" t="s">
        <v>106</v>
      </c>
      <c r="D21" s="1432">
        <f>D19</f>
        <v>0</v>
      </c>
      <c r="E21" s="1432">
        <f t="shared" ref="E21:J21" si="3">E19</f>
        <v>90260</v>
      </c>
      <c r="F21" s="1432">
        <f t="shared" si="3"/>
        <v>0</v>
      </c>
      <c r="G21" s="1432">
        <f t="shared" si="3"/>
        <v>10369</v>
      </c>
      <c r="H21" s="1432">
        <f t="shared" si="3"/>
        <v>0</v>
      </c>
      <c r="I21" s="1432">
        <f t="shared" si="3"/>
        <v>0</v>
      </c>
      <c r="J21" s="1432">
        <f t="shared" si="3"/>
        <v>259619</v>
      </c>
      <c r="K21" s="1432">
        <f>K19+K20</f>
        <v>360248</v>
      </c>
      <c r="L21" s="1432">
        <f>F610TotalBudgFY+F610Carryforward</f>
        <v>425721</v>
      </c>
      <c r="M21" s="1330">
        <f>IF(K21=L21,0,IF(K21&gt;0,(L21-K21)/K21,""))</f>
        <v>0.182</v>
      </c>
      <c r="N21" s="322" t="s">
        <v>106</v>
      </c>
    </row>
    <row r="22" spans="1:16" ht="12" customHeight="1">
      <c r="A22" s="96"/>
      <c r="B22" s="96"/>
      <c r="C22" s="335"/>
      <c r="D22" s="1275"/>
      <c r="F22" s="1645" t="str">
        <f>IF(ROUND('Page 8'!K30,0)&lt;0,"The district may not budget amounts on this page as it has no spending authority in its Unrestricted Capital Outlay Fund as calculated on Page 8 of 8.",IF(ROUND('Page 4'!L21,0)&lt;ROUND('Page 8'!K30,0),CONCATENATE("The district has budgeted an amount in the UCO Fund which is less than the Unrestricted Capital Budget Limit as calculated on Page 8 of 8 by ",TEXT('Page 8'!K30-'Page 4'!L21,"$#,###"),"."),IF(ROUND('Page 4'!L21,0)&gt;ROUND('Page 8'!K30,0),CONCATENATE("The district has budgeted greater in the UCO Fund than the Unrestricted Capital Budget Limit as calculated on Page 8 of 8 by ",TEXT(-'Page 8'!K30+'Page 4'!L21,"$#,###"),"."),IF(ROUND('Page 4'!L21,0)=ROUND('Page 8'!K30,0),CONCATENATE("The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45"/>
      <c r="H22" s="1645"/>
      <c r="I22" s="1645"/>
      <c r="J22" s="1645"/>
      <c r="K22" s="1645"/>
      <c r="L22" s="1645"/>
      <c r="M22" s="1645"/>
      <c r="N22" s="1304"/>
      <c r="O22" s="1304"/>
      <c r="P22" s="1304"/>
    </row>
    <row r="23" spans="1:16" ht="12" customHeight="1">
      <c r="O23" s="184"/>
      <c r="P23" s="328"/>
    </row>
    <row r="24" spans="1:16" ht="11.25" customHeight="1">
      <c r="A24" s="1642" t="s">
        <v>1003</v>
      </c>
      <c r="B24" s="1643"/>
      <c r="C24" s="1643"/>
      <c r="D24" s="1643"/>
      <c r="E24" s="180" t="s">
        <v>176</v>
      </c>
      <c r="F24" s="119" t="s">
        <v>177</v>
      </c>
      <c r="G24" s="119"/>
      <c r="H24" s="119"/>
      <c r="I24" s="119"/>
      <c r="J24" s="119"/>
      <c r="K24" s="1295"/>
      <c r="L24" s="1348"/>
    </row>
    <row r="25" spans="1:16" ht="11.25" customHeight="1">
      <c r="A25" s="1643"/>
      <c r="B25" s="1643"/>
      <c r="C25" s="1643"/>
      <c r="D25" s="1643"/>
      <c r="G25" s="1293"/>
      <c r="H25" s="1293"/>
      <c r="I25" s="1293"/>
      <c r="J25" s="1293"/>
      <c r="K25" s="1293"/>
      <c r="L25" s="5"/>
    </row>
    <row r="26" spans="1:16" ht="12.75" customHeight="1">
      <c r="A26" s="1643"/>
      <c r="B26" s="1643"/>
      <c r="C26" s="1643"/>
      <c r="D26" s="1643"/>
      <c r="F26" s="96" t="s">
        <v>178</v>
      </c>
      <c r="G26" s="96"/>
      <c r="H26" s="96"/>
      <c r="I26" s="96"/>
      <c r="J26" s="96"/>
      <c r="L26" s="96"/>
      <c r="M26" s="96"/>
      <c r="N26" s="96"/>
    </row>
    <row r="27" spans="1:16" ht="12" customHeight="1">
      <c r="A27" s="1293"/>
      <c r="B27" s="1293"/>
      <c r="C27" s="1293"/>
      <c r="D27" s="1293"/>
      <c r="F27" s="96" t="s">
        <v>179</v>
      </c>
      <c r="G27" s="96"/>
      <c r="H27" s="96"/>
      <c r="I27" s="96"/>
      <c r="J27" s="96"/>
      <c r="K27" s="29"/>
      <c r="M27" s="96"/>
      <c r="N27" s="336"/>
    </row>
    <row r="28" spans="1:16" ht="11.25" customHeight="1">
      <c r="A28" s="96" t="s">
        <v>944</v>
      </c>
      <c r="B28" s="96"/>
      <c r="C28" s="96"/>
      <c r="D28" s="96"/>
      <c r="E28" s="96"/>
      <c r="G28" s="96"/>
      <c r="H28" s="96"/>
      <c r="I28" s="96"/>
      <c r="J28" s="96"/>
      <c r="K28" s="96"/>
      <c r="L28" s="1283"/>
      <c r="M28" s="1283"/>
      <c r="N28" s="1283"/>
    </row>
    <row r="29" spans="1:16" ht="11.25" customHeight="1">
      <c r="A29" s="96"/>
      <c r="B29" s="1640" t="s">
        <v>180</v>
      </c>
      <c r="C29" s="96"/>
      <c r="D29" s="1640"/>
      <c r="G29" s="1304"/>
      <c r="H29" s="1304"/>
      <c r="I29" s="1304"/>
      <c r="J29" s="1304"/>
      <c r="K29" s="1304"/>
      <c r="L29" s="96"/>
    </row>
    <row r="30" spans="1:16" ht="11.25" customHeight="1">
      <c r="A30" s="96"/>
      <c r="B30" s="1641"/>
      <c r="C30" s="96"/>
      <c r="D30" s="1640"/>
      <c r="H30" s="1304"/>
      <c r="I30" s="1304"/>
      <c r="J30" s="1304"/>
      <c r="K30" s="1304"/>
    </row>
    <row r="31" spans="1:16" ht="11.25" customHeight="1">
      <c r="A31" s="96" t="s">
        <v>1004</v>
      </c>
      <c r="B31" s="28">
        <v>20000</v>
      </c>
      <c r="C31" s="175"/>
      <c r="D31" s="1269"/>
      <c r="E31" s="180" t="s">
        <v>181</v>
      </c>
      <c r="F31" s="1633" t="s">
        <v>182</v>
      </c>
      <c r="G31" s="1633"/>
      <c r="H31" s="1633"/>
      <c r="I31" s="1633"/>
      <c r="J31" s="1633"/>
      <c r="K31" s="1304"/>
      <c r="L31" s="337"/>
      <c r="M31" s="1304"/>
      <c r="N31" s="1304"/>
      <c r="O31" s="3"/>
    </row>
    <row r="32" spans="1:16" ht="11.25" customHeight="1">
      <c r="A32" s="96" t="s">
        <v>183</v>
      </c>
      <c r="B32" s="19">
        <f>+B31</f>
        <v>20000</v>
      </c>
      <c r="C32" s="175"/>
      <c r="D32" s="1269"/>
      <c r="F32" s="1633"/>
      <c r="G32" s="1633"/>
      <c r="H32" s="1633"/>
      <c r="I32" s="1633"/>
      <c r="J32" s="1633"/>
      <c r="K32" s="29"/>
      <c r="M32" s="1304"/>
      <c r="N32" s="1304"/>
    </row>
    <row r="33" spans="1:16" ht="11.25" customHeight="1">
      <c r="A33" s="96" t="s">
        <v>1005</v>
      </c>
      <c r="B33" s="19">
        <v>50260</v>
      </c>
      <c r="C33" s="175"/>
      <c r="D33" s="1269"/>
      <c r="G33" s="1304"/>
      <c r="H33" s="1304"/>
      <c r="I33" s="1304"/>
      <c r="J33" s="1304"/>
      <c r="K33" s="1304"/>
      <c r="L33" s="1304"/>
      <c r="M33" s="1304"/>
      <c r="N33" s="1304"/>
    </row>
    <row r="34" spans="1:16" ht="11.25" customHeight="1">
      <c r="A34" s="96" t="s">
        <v>1006</v>
      </c>
      <c r="B34" s="25">
        <v>10369</v>
      </c>
      <c r="C34" s="175"/>
      <c r="D34" s="1269"/>
      <c r="G34" s="339"/>
      <c r="H34" s="339"/>
      <c r="I34" s="339"/>
      <c r="J34" s="339"/>
      <c r="K34" s="339"/>
      <c r="L34" s="340"/>
      <c r="M34" s="1304"/>
      <c r="N34" s="1304"/>
    </row>
    <row r="35" spans="1:16" ht="12" customHeight="1">
      <c r="A35" s="96" t="s">
        <v>184</v>
      </c>
      <c r="B35" s="19"/>
      <c r="C35" s="175"/>
      <c r="D35" s="1269"/>
      <c r="E35" s="96"/>
      <c r="G35" s="339"/>
      <c r="H35" s="339"/>
      <c r="I35" s="339"/>
      <c r="J35" s="339"/>
      <c r="K35" s="339"/>
      <c r="M35" s="1304"/>
      <c r="N35" s="1304"/>
    </row>
    <row r="36" spans="1:16" s="343" customFormat="1" ht="10.5" customHeight="1">
      <c r="A36" s="96" t="s">
        <v>1007</v>
      </c>
      <c r="B36" s="1438"/>
      <c r="C36" s="341"/>
      <c r="D36" s="342"/>
      <c r="E36" s="1306"/>
      <c r="F36"/>
      <c r="G36" s="341"/>
      <c r="H36" s="1306"/>
      <c r="I36" s="1306"/>
      <c r="J36" s="1306"/>
      <c r="K36" s="1306"/>
      <c r="L36" s="1306"/>
    </row>
    <row r="37" spans="1:16" ht="10.5" customHeight="1">
      <c r="A37" s="96"/>
      <c r="B37" s="96"/>
      <c r="C37" s="175"/>
      <c r="D37" s="96"/>
      <c r="E37" s="96"/>
      <c r="G37" s="177"/>
      <c r="H37" s="96"/>
      <c r="I37" s="96"/>
      <c r="J37" s="96"/>
      <c r="K37" s="96"/>
      <c r="L37" s="96"/>
    </row>
    <row r="38" spans="1:16" ht="11.25" customHeight="1">
      <c r="A38" s="96" t="s">
        <v>185</v>
      </c>
      <c r="B38" s="96"/>
      <c r="C38" s="177"/>
      <c r="D38" s="34"/>
      <c r="E38" s="96" t="s">
        <v>186</v>
      </c>
      <c r="G38" s="34"/>
      <c r="H38" s="96" t="s">
        <v>187</v>
      </c>
      <c r="I38" s="96"/>
      <c r="J38" s="34"/>
      <c r="K38" t="s">
        <v>44</v>
      </c>
    </row>
    <row r="39" spans="1:16" ht="6" customHeight="1">
      <c r="A39" s="96"/>
      <c r="B39" s="96"/>
      <c r="C39" s="175"/>
      <c r="D39" s="96"/>
      <c r="E39" s="96"/>
      <c r="G39" s="96"/>
      <c r="H39" s="96"/>
      <c r="I39" s="96"/>
      <c r="J39" s="344"/>
    </row>
    <row r="40" spans="1:16" ht="11.25" customHeight="1">
      <c r="A40" s="96" t="s">
        <v>188</v>
      </c>
      <c r="B40" s="96"/>
      <c r="C40" s="177"/>
      <c r="D40" s="34"/>
      <c r="E40" s="96" t="s">
        <v>189</v>
      </c>
      <c r="G40" s="34"/>
      <c r="H40" s="96" t="s">
        <v>190</v>
      </c>
      <c r="I40" s="96"/>
      <c r="J40" s="34"/>
      <c r="K40" t="s">
        <v>44</v>
      </c>
    </row>
    <row r="41" spans="1:16" ht="11.25" customHeight="1">
      <c r="A41" s="96"/>
      <c r="B41" s="96"/>
      <c r="C41" s="175"/>
      <c r="G41" s="177"/>
    </row>
    <row r="42" spans="1:16" ht="11.25" customHeight="1">
      <c r="A42" s="96"/>
      <c r="B42" s="96"/>
      <c r="C42" s="175"/>
      <c r="G42" s="177"/>
    </row>
    <row r="43" spans="1:16" ht="11.25" customHeight="1">
      <c r="A43" s="96"/>
      <c r="B43" s="96"/>
      <c r="C43" s="175"/>
      <c r="G43" s="177"/>
      <c r="P43" s="328"/>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25" priority="1">
      <formula>LEN(TRIM(L20))=0</formula>
    </cfRule>
  </conditionalFormatting>
  <hyperlinks>
    <hyperlink ref="E24" location="Page4f5" display="(5)" xr:uid="{00000000-0004-0000-0400-000000000000}"/>
    <hyperlink ref="C19" location="Page4L11" display="10." xr:uid="{00000000-0004-0000-0400-000001000000}"/>
    <hyperlink ref="E31" location="DataEntryUSCSCAl7" display="(6)" xr:uid="{00000000-0004-0000-0400-000002000000}"/>
    <hyperlink ref="C20" location="PlannedCarryforward" display="11." xr:uid="{00000000-0004-0000-0400-000003000000}"/>
    <hyperlink ref="C21" location="Page4L12" display="12." xr:uid="{00000000-0004-0000-0400-000004000000}"/>
    <hyperlink ref="A4" location="Page4L11" display="Instructions" xr:uid="{00000000-0004-0000-0400-000005000000}"/>
  </hyperlinks>
  <printOptions horizontalCentered="1"/>
  <pageMargins left="0.25" right="0.25" top="0.25" bottom="0.25" header="0" footer="0.15"/>
  <pageSetup paperSize="5" scale="87" orientation="landscape" r:id="rId1"/>
  <headerFooter alignWithMargins="0">
    <oddFooter>&amp;L&amp;"Times New Roman,Bold"&amp;9Rev. 5/26&amp;K000000 Arizona Department of Education and Auditor General&amp;C&amp;"Times New Roman,Regular"&amp;9&amp;D  &amp;T</oddFooter>
  </headerFooter>
  <extLst>
    <ext xmlns:x14="http://schemas.microsoft.com/office/spreadsheetml/2009/9/main" uri="{78C0D931-6437-407d-A8EE-F0AAD7539E65}">
      <x14:conditionalFormattings>
        <x14:conditionalFormatting xmlns:xm="http://schemas.microsoft.com/office/excel/2006/main">
          <x14:cfRule type="expression" priority="18" id="{00000000-000E-0000-0400-000012000000}">
            <xm:f>ROUND(L19,0)&gt;ROUND('Page 8'!K30,0)</xm:f>
            <x14:dxf>
              <font>
                <color rgb="FFFF0000"/>
              </font>
            </x14:dxf>
          </x14:cfRule>
          <xm:sqref>F22:G22 I22:M22</xm:sqref>
        </x14:conditionalFormatting>
        <x14:conditionalFormatting xmlns:xm="http://schemas.microsoft.com/office/excel/2006/main">
          <x14:cfRule type="expression" priority="23" id="{00000000-000E-0000-0400-000017000000}">
            <xm:f>ROUND(N20,0)&gt;ROUND('Page 8'!M30,0)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O41"/>
  <sheetViews>
    <sheetView showGridLines="0" zoomScaleSheetLayoutView="100" workbookViewId="0">
      <selection activeCell="E26" sqref="E26"/>
    </sheetView>
  </sheetViews>
  <sheetFormatPr defaultColWidth="8.81640625" defaultRowHeight="15"/>
  <cols>
    <col min="1" max="1" width="20" customWidth="1"/>
    <col min="2" max="2" width="19.81640625" customWidth="1"/>
    <col min="3" max="3" width="3" customWidth="1"/>
    <col min="4" max="5" width="10.81640625" customWidth="1"/>
    <col min="12" max="12" width="2.81640625" customWidth="1"/>
    <col min="13" max="13" width="7.54296875" customWidth="1"/>
    <col min="14" max="14" width="11.81640625" customWidth="1"/>
  </cols>
  <sheetData>
    <row r="1" spans="1:15">
      <c r="A1" s="1266" t="s">
        <v>140</v>
      </c>
      <c r="B1" s="1546" t="str">
        <f>DistrictName</f>
        <v>Stanfield Elementary School District</v>
      </c>
      <c r="C1" s="1537"/>
      <c r="D1" s="1537"/>
      <c r="E1" s="1537"/>
      <c r="F1" s="138"/>
      <c r="G1" s="1266" t="s">
        <v>1</v>
      </c>
      <c r="H1" s="1265" t="str">
        <f>Cover!H1</f>
        <v>Pinal</v>
      </c>
      <c r="I1" s="1287"/>
      <c r="J1" s="1266" t="s">
        <v>57</v>
      </c>
      <c r="K1" s="98" t="str">
        <f>Cover!S1</f>
        <v>110424000</v>
      </c>
      <c r="L1" s="148"/>
      <c r="M1" s="1266" t="s">
        <v>16</v>
      </c>
      <c r="N1" s="1263" t="str">
        <f>Cover!C8</f>
        <v>Proposed</v>
      </c>
    </row>
    <row r="2" spans="1:15" ht="15.6">
      <c r="A2" s="1301"/>
      <c r="B2" s="138"/>
      <c r="C2" s="138"/>
      <c r="D2" s="138"/>
      <c r="E2" s="138"/>
      <c r="F2" s="138"/>
      <c r="G2" s="1301"/>
      <c r="H2" s="138"/>
      <c r="I2" s="138"/>
      <c r="J2" s="138"/>
      <c r="K2" s="1301"/>
      <c r="L2" s="138"/>
      <c r="O2" s="97"/>
    </row>
    <row r="3" spans="1:15" ht="15.6">
      <c r="A3" s="345" t="s">
        <v>191</v>
      </c>
      <c r="B3" s="345"/>
      <c r="C3" s="345"/>
      <c r="D3" s="345"/>
      <c r="E3" s="345"/>
      <c r="F3" s="345"/>
      <c r="G3" s="345"/>
      <c r="H3" s="345"/>
      <c r="I3" s="345"/>
      <c r="J3" s="1298"/>
      <c r="K3" s="1298"/>
      <c r="L3" s="5"/>
      <c r="M3" s="5"/>
      <c r="N3" s="5"/>
      <c r="O3" s="97"/>
    </row>
    <row r="4" spans="1:15" ht="15.6">
      <c r="A4" s="269"/>
      <c r="B4" s="269"/>
      <c r="C4" s="269"/>
      <c r="D4" s="1298"/>
      <c r="E4" s="346"/>
      <c r="F4" s="347"/>
      <c r="G4" s="347"/>
      <c r="H4" s="347"/>
      <c r="I4" s="347"/>
      <c r="J4" s="347"/>
      <c r="K4" s="347"/>
      <c r="L4" s="5"/>
      <c r="M4" s="348"/>
      <c r="N4" s="348"/>
      <c r="O4" s="97"/>
    </row>
    <row r="5" spans="1:15">
      <c r="A5" s="1472" t="s">
        <v>692</v>
      </c>
      <c r="B5" s="349"/>
      <c r="C5" s="350"/>
      <c r="D5" s="1650" t="s">
        <v>180</v>
      </c>
      <c r="E5" s="1651"/>
      <c r="F5" s="1652" t="s">
        <v>192</v>
      </c>
      <c r="G5" s="1652"/>
      <c r="H5" s="1652" t="s">
        <v>193</v>
      </c>
      <c r="I5" s="1652"/>
      <c r="J5" s="1654" t="s">
        <v>194</v>
      </c>
      <c r="K5" s="1655"/>
      <c r="L5" s="351"/>
      <c r="M5" s="175"/>
    </row>
    <row r="6" spans="1:15">
      <c r="A6" s="352" t="s">
        <v>87</v>
      </c>
      <c r="C6" s="353"/>
      <c r="D6" s="1658" t="s">
        <v>195</v>
      </c>
      <c r="E6" s="1659"/>
      <c r="F6" s="1653" t="s">
        <v>196</v>
      </c>
      <c r="G6" s="1653"/>
      <c r="H6" s="1653" t="s">
        <v>197</v>
      </c>
      <c r="I6" s="1653"/>
      <c r="J6" s="1656" t="s">
        <v>198</v>
      </c>
      <c r="K6" s="1657"/>
      <c r="L6" s="1269"/>
    </row>
    <row r="7" spans="1:15">
      <c r="A7" s="354"/>
      <c r="B7" s="355"/>
      <c r="C7" s="356"/>
      <c r="D7" s="284" t="s">
        <v>129</v>
      </c>
      <c r="E7" s="357" t="s">
        <v>130</v>
      </c>
      <c r="F7" s="284" t="s">
        <v>129</v>
      </c>
      <c r="G7" s="357" t="s">
        <v>130</v>
      </c>
      <c r="H7" s="284" t="s">
        <v>129</v>
      </c>
      <c r="I7" s="357" t="s">
        <v>130</v>
      </c>
      <c r="J7" s="358" t="s">
        <v>129</v>
      </c>
      <c r="K7" s="359" t="s">
        <v>130</v>
      </c>
      <c r="L7" s="96"/>
      <c r="M7" s="177"/>
    </row>
    <row r="8" spans="1:15" ht="13.5" customHeight="1">
      <c r="A8" s="360" t="s">
        <v>1074</v>
      </c>
      <c r="B8" s="361"/>
      <c r="C8" s="362" t="s">
        <v>6</v>
      </c>
      <c r="D8" s="363">
        <f>F610TotalCurrFY</f>
        <v>360248</v>
      </c>
      <c r="E8" s="364">
        <f>F610TotalBudgFY</f>
        <v>360248</v>
      </c>
      <c r="F8" s="364">
        <f>[1]!F630TotalBudgFY</f>
        <v>0</v>
      </c>
      <c r="G8" s="94"/>
      <c r="H8" s="364">
        <f>[1]!F695TotalBudgFY</f>
        <v>0</v>
      </c>
      <c r="I8" s="94"/>
      <c r="J8" s="365">
        <f>[1]!F620TotalBudgFY</f>
        <v>0</v>
      </c>
      <c r="K8" s="55"/>
      <c r="L8" s="366" t="s">
        <v>6</v>
      </c>
      <c r="M8" s="175"/>
    </row>
    <row r="9" spans="1:15" ht="13.5" customHeight="1">
      <c r="A9" s="367" t="s">
        <v>1075</v>
      </c>
      <c r="B9" s="349"/>
      <c r="C9" s="362"/>
      <c r="D9" s="286"/>
      <c r="E9" s="368"/>
      <c r="F9" s="368"/>
      <c r="G9" s="369"/>
      <c r="H9" s="368"/>
      <c r="I9" s="369"/>
      <c r="J9" s="370"/>
      <c r="K9" s="371"/>
      <c r="L9" s="366"/>
      <c r="M9" s="177"/>
    </row>
    <row r="10" spans="1:15" ht="13.5" customHeight="1">
      <c r="A10" s="372" t="s">
        <v>1008</v>
      </c>
      <c r="B10" s="271"/>
      <c r="C10" s="1336" t="s">
        <v>8</v>
      </c>
      <c r="D10" s="1347">
        <f>[1]!F610BudgFYO6150</f>
        <v>0</v>
      </c>
      <c r="E10" s="1337"/>
      <c r="F10" s="364">
        <f>[1]!F630BudgFYO6150</f>
        <v>0</v>
      </c>
      <c r="G10" s="41"/>
      <c r="H10" s="364">
        <f>[1]!F695BudgFYO6150</f>
        <v>0</v>
      </c>
      <c r="I10" s="41"/>
      <c r="J10" s="364">
        <f>[1]!F620BudgFYO6150</f>
        <v>0</v>
      </c>
      <c r="K10" s="50"/>
      <c r="L10" s="305" t="s">
        <v>8</v>
      </c>
      <c r="M10" s="177"/>
    </row>
    <row r="11" spans="1:15" ht="13.5" customHeight="1">
      <c r="A11" s="372" t="s">
        <v>1009</v>
      </c>
      <c r="B11" s="271"/>
      <c r="C11" s="1336" t="s">
        <v>22</v>
      </c>
      <c r="D11" s="1341">
        <f>[1]!F610BudgFYO6200</f>
        <v>0</v>
      </c>
      <c r="E11" s="1338"/>
      <c r="F11" s="291">
        <f>[1]!F630BudgFYO6200</f>
        <v>0</v>
      </c>
      <c r="G11" s="42"/>
      <c r="H11" s="291">
        <f>[1]!F695BudgFYO6200</f>
        <v>0</v>
      </c>
      <c r="I11" s="42"/>
      <c r="J11" s="291">
        <f>[1]!F620BudgFYO6200</f>
        <v>0</v>
      </c>
      <c r="K11" s="23"/>
      <c r="L11" s="305" t="s">
        <v>22</v>
      </c>
      <c r="M11" s="184"/>
    </row>
    <row r="12" spans="1:15" ht="13.5" customHeight="1">
      <c r="A12" s="372" t="s">
        <v>1010</v>
      </c>
      <c r="B12" s="271"/>
      <c r="C12" s="1336" t="s">
        <v>40</v>
      </c>
      <c r="D12" s="1341">
        <f>[1]!F610BudgFYO6450</f>
        <v>0</v>
      </c>
      <c r="E12" s="1338"/>
      <c r="F12" s="291">
        <f>[1]!F630BudgFYO6450</f>
        <v>0</v>
      </c>
      <c r="G12" s="42"/>
      <c r="H12" s="291">
        <f>[1]!F695BudgFYO6450</f>
        <v>0</v>
      </c>
      <c r="I12" s="42"/>
      <c r="J12" s="291">
        <f>[1]!F620BudgFYO6450</f>
        <v>0</v>
      </c>
      <c r="K12" s="23"/>
      <c r="L12" s="305" t="s">
        <v>40</v>
      </c>
      <c r="M12" s="184"/>
    </row>
    <row r="13" spans="1:15" ht="13.5" customHeight="1">
      <c r="A13" s="372" t="s">
        <v>1011</v>
      </c>
      <c r="B13" s="271"/>
      <c r="C13" s="1336" t="s">
        <v>98</v>
      </c>
      <c r="D13" s="1341">
        <f>'[1]Page 5'!$E$13</f>
        <v>0</v>
      </c>
      <c r="E13" s="1338"/>
      <c r="F13" s="1529">
        <f>'[1]Page 5'!$G$13</f>
        <v>0</v>
      </c>
      <c r="G13" s="42"/>
      <c r="H13" s="1529">
        <f>'[1]Page 5'!$I$13</f>
        <v>0</v>
      </c>
      <c r="I13" s="42"/>
      <c r="J13" s="1529">
        <f>'[1]Page 5'!$K$13</f>
        <v>0</v>
      </c>
      <c r="K13" s="23"/>
      <c r="L13" s="305" t="s">
        <v>98</v>
      </c>
      <c r="M13" s="184"/>
    </row>
    <row r="14" spans="1:15" ht="13.5" customHeight="1">
      <c r="A14" s="372" t="s">
        <v>1012</v>
      </c>
      <c r="B14" s="271"/>
      <c r="C14" s="1336" t="s">
        <v>99</v>
      </c>
      <c r="D14" s="1341">
        <f>[1]!F610BudgFYO6710</f>
        <v>0</v>
      </c>
      <c r="E14" s="1338"/>
      <c r="F14" s="291">
        <f>[1]!F630BudgFYO6710</f>
        <v>0</v>
      </c>
      <c r="G14" s="42"/>
      <c r="H14" s="291">
        <f>[1]!F695BudgFYO6710</f>
        <v>0</v>
      </c>
      <c r="I14" s="42"/>
      <c r="J14" s="291">
        <f>[1]!F620BudgFYO6710</f>
        <v>0</v>
      </c>
      <c r="K14" s="23"/>
      <c r="L14" s="305" t="s">
        <v>99</v>
      </c>
      <c r="M14" s="184"/>
    </row>
    <row r="15" spans="1:15" ht="13.5" customHeight="1">
      <c r="A15" s="372" t="s">
        <v>1013</v>
      </c>
      <c r="B15" s="271"/>
      <c r="C15" s="1336" t="s">
        <v>100</v>
      </c>
      <c r="D15" s="1341">
        <f>[1]!F610BudgFYO6720</f>
        <v>0</v>
      </c>
      <c r="E15" s="1338"/>
      <c r="F15" s="291">
        <f>[1]!F630BudgFYO6720</f>
        <v>0</v>
      </c>
      <c r="G15" s="42"/>
      <c r="H15" s="291">
        <f>[1]!F695BudgFYO6720</f>
        <v>0</v>
      </c>
      <c r="I15" s="42"/>
      <c r="J15" s="291">
        <f>[1]!F620BudgFYO6720</f>
        <v>0</v>
      </c>
      <c r="K15" s="23"/>
      <c r="L15" s="305" t="s">
        <v>100</v>
      </c>
      <c r="M15" s="177"/>
    </row>
    <row r="16" spans="1:15" ht="13.5" customHeight="1">
      <c r="A16" s="372" t="s">
        <v>1014</v>
      </c>
      <c r="B16" s="271"/>
      <c r="C16" s="1336" t="s">
        <v>102</v>
      </c>
      <c r="D16" s="1341">
        <f>[1]!F610BudgFYO6731</f>
        <v>10369</v>
      </c>
      <c r="E16" s="1339">
        <f>F610O6731</f>
        <v>10369</v>
      </c>
      <c r="F16" s="291">
        <f>[1]!F630BudgFYO6731</f>
        <v>0</v>
      </c>
      <c r="G16" s="42"/>
      <c r="H16" s="291">
        <f>[1]!F695BudgFYO6731</f>
        <v>0</v>
      </c>
      <c r="I16" s="42"/>
      <c r="J16" s="291">
        <f>[1]!F620BudgFYO6731</f>
        <v>0</v>
      </c>
      <c r="K16" s="23"/>
      <c r="L16" s="305" t="s">
        <v>102</v>
      </c>
      <c r="M16" s="177"/>
    </row>
    <row r="17" spans="1:15" ht="13.5" customHeight="1">
      <c r="A17" s="372" t="s">
        <v>199</v>
      </c>
      <c r="B17" s="271"/>
      <c r="C17" s="1336" t="s">
        <v>103</v>
      </c>
      <c r="D17" s="1341">
        <f>[1]!F610BudgFYO6734</f>
        <v>0</v>
      </c>
      <c r="E17" s="1339">
        <f>F610O6734</f>
        <v>0</v>
      </c>
      <c r="F17" s="291">
        <f>[1]!F630BudgFYO6734</f>
        <v>0</v>
      </c>
      <c r="G17" s="42"/>
      <c r="H17" s="291">
        <f>[1]!F695BudgFYO6734</f>
        <v>0</v>
      </c>
      <c r="I17" s="42"/>
      <c r="J17" s="291">
        <f>[1]!F620BudgFYO6734</f>
        <v>0</v>
      </c>
      <c r="K17" s="23"/>
      <c r="L17" s="375" t="s">
        <v>103</v>
      </c>
      <c r="M17" s="177"/>
    </row>
    <row r="18" spans="1:15" ht="13.5" customHeight="1">
      <c r="A18" s="372" t="s">
        <v>1015</v>
      </c>
      <c r="B18" s="271"/>
      <c r="C18" s="1336" t="s">
        <v>104</v>
      </c>
      <c r="D18" s="1341">
        <f>[1]!F610BudgFYO6737</f>
        <v>0</v>
      </c>
      <c r="E18" s="1339">
        <f>F610O6737</f>
        <v>0</v>
      </c>
      <c r="F18" s="291">
        <f>[1]!F630BudgFYO6737</f>
        <v>0</v>
      </c>
      <c r="G18" s="42"/>
      <c r="H18" s="291">
        <f>[1]!F695BudgFYO6737</f>
        <v>0</v>
      </c>
      <c r="I18" s="42"/>
      <c r="J18" s="291">
        <f>[1]!F620BudgFYO6737</f>
        <v>0</v>
      </c>
      <c r="K18" s="22"/>
      <c r="L18" s="375" t="s">
        <v>104</v>
      </c>
      <c r="M18" s="177"/>
    </row>
    <row r="19" spans="1:15" ht="13.5" customHeight="1">
      <c r="A19" s="372" t="s">
        <v>1016</v>
      </c>
      <c r="B19" s="271"/>
      <c r="C19" s="1336" t="s">
        <v>105</v>
      </c>
      <c r="D19" s="1341">
        <f>[1]!F610BudgFYO6831</f>
        <v>0</v>
      </c>
      <c r="E19" s="1338"/>
      <c r="F19" s="291">
        <f>[1]!F630BudgFYO6831</f>
        <v>0</v>
      </c>
      <c r="G19" s="42"/>
      <c r="H19" s="291">
        <f>[1]!F695BudgFYO6831</f>
        <v>0</v>
      </c>
      <c r="I19" s="42"/>
      <c r="J19" s="291">
        <f>[1]!F620BudgFYO6831</f>
        <v>0</v>
      </c>
      <c r="K19" s="22"/>
      <c r="L19" s="375" t="s">
        <v>105</v>
      </c>
      <c r="M19" s="177"/>
    </row>
    <row r="20" spans="1:15" ht="13.5" customHeight="1">
      <c r="A20" s="376" t="s">
        <v>1017</v>
      </c>
      <c r="B20" s="377"/>
      <c r="C20" s="379" t="s">
        <v>106</v>
      </c>
      <c r="D20" s="1341">
        <f>[1]!F610BudgFYO6841</f>
        <v>0</v>
      </c>
      <c r="E20" s="1340"/>
      <c r="F20" s="378">
        <f>[1]!F630BudgFYO6841</f>
        <v>0</v>
      </c>
      <c r="G20" s="45"/>
      <c r="H20" s="378">
        <f>[1]!F695BudgFYO6841</f>
        <v>0</v>
      </c>
      <c r="I20" s="45"/>
      <c r="J20" s="291">
        <f>[1]!F620BudgFYO6841</f>
        <v>0</v>
      </c>
      <c r="K20" s="51"/>
      <c r="L20" s="305" t="s">
        <v>106</v>
      </c>
      <c r="M20" s="177"/>
    </row>
    <row r="21" spans="1:15" ht="13.5" customHeight="1">
      <c r="A21" s="372" t="s">
        <v>904</v>
      </c>
      <c r="B21" s="271"/>
      <c r="C21" s="1336" t="s">
        <v>107</v>
      </c>
      <c r="D21" s="287">
        <f t="shared" ref="D21:K21" si="0">SUM(D10:D20)</f>
        <v>10369</v>
      </c>
      <c r="E21" s="296">
        <f t="shared" si="0"/>
        <v>10369</v>
      </c>
      <c r="F21" s="287">
        <f t="shared" si="0"/>
        <v>0</v>
      </c>
      <c r="G21" s="287">
        <f t="shared" si="0"/>
        <v>0</v>
      </c>
      <c r="H21" s="287">
        <f t="shared" si="0"/>
        <v>0</v>
      </c>
      <c r="I21" s="287">
        <f t="shared" si="0"/>
        <v>0</v>
      </c>
      <c r="J21" s="287">
        <f t="shared" si="0"/>
        <v>0</v>
      </c>
      <c r="K21" s="287">
        <f t="shared" si="0"/>
        <v>0</v>
      </c>
      <c r="L21" s="375" t="s">
        <v>107</v>
      </c>
      <c r="M21" s="177"/>
    </row>
    <row r="22" spans="1:15" ht="13.5" customHeight="1">
      <c r="A22" s="285" t="s">
        <v>905</v>
      </c>
      <c r="D22" s="1448"/>
      <c r="E22" s="381"/>
      <c r="F22" s="380"/>
      <c r="G22" s="380"/>
      <c r="H22" s="380"/>
      <c r="I22" s="382"/>
      <c r="J22" s="293"/>
      <c r="K22" s="383"/>
      <c r="M22" s="177"/>
    </row>
    <row r="23" spans="1:15" ht="13.5" customHeight="1">
      <c r="A23" s="372" t="s">
        <v>200</v>
      </c>
      <c r="B23" s="271"/>
      <c r="C23" s="373" t="s">
        <v>108</v>
      </c>
      <c r="D23" s="374">
        <f>[1]!F610BudgFYRenovation</f>
        <v>0</v>
      </c>
      <c r="E23" s="42"/>
      <c r="F23" s="291">
        <f>[1]!F630BudgFYRenovation</f>
        <v>0</v>
      </c>
      <c r="G23" s="42"/>
      <c r="H23" s="384"/>
      <c r="I23" s="384"/>
      <c r="J23" s="291">
        <f>[1]!F620BudgFYRenovation</f>
        <v>0</v>
      </c>
      <c r="K23" s="27"/>
      <c r="L23" s="375" t="s">
        <v>108</v>
      </c>
      <c r="M23" s="177"/>
    </row>
    <row r="24" spans="1:15" ht="13.5" customHeight="1">
      <c r="A24" s="372" t="s">
        <v>1018</v>
      </c>
      <c r="B24" s="271"/>
      <c r="C24" s="373" t="s">
        <v>109</v>
      </c>
      <c r="D24" s="374">
        <f>[1]!F610BudgFYNewConstruction</f>
        <v>0</v>
      </c>
      <c r="E24" s="42"/>
      <c r="F24" s="291">
        <f>[1]!F630BudgFYNewConstruction</f>
        <v>0</v>
      </c>
      <c r="G24" s="42"/>
      <c r="H24" s="291">
        <f>[1]!F695BudgFYNewConstruction</f>
        <v>0</v>
      </c>
      <c r="I24" s="42"/>
      <c r="J24" s="291">
        <f>[1]!F620BudgFYNewConstruction</f>
        <v>0</v>
      </c>
      <c r="K24" s="22"/>
      <c r="L24" s="375" t="s">
        <v>109</v>
      </c>
      <c r="M24" s="177"/>
    </row>
    <row r="25" spans="1:15" ht="13.5" customHeight="1">
      <c r="A25" s="372" t="s">
        <v>201</v>
      </c>
      <c r="B25" s="271"/>
      <c r="C25" s="373" t="s">
        <v>110</v>
      </c>
      <c r="D25" s="374">
        <f>[1]!F610BudgFYOther</f>
        <v>10369</v>
      </c>
      <c r="E25" s="42">
        <v>10369</v>
      </c>
      <c r="F25" s="291">
        <f>[1]!F630BudgFYOther</f>
        <v>0</v>
      </c>
      <c r="G25" s="42"/>
      <c r="H25" s="291">
        <f>[1]!F695BudgFYOther</f>
        <v>0</v>
      </c>
      <c r="I25" s="42"/>
      <c r="J25" s="291">
        <f>[1]!F620BudgFYOther</f>
        <v>0</v>
      </c>
      <c r="K25" s="22"/>
      <c r="L25" s="305" t="s">
        <v>110</v>
      </c>
      <c r="M25" s="177"/>
    </row>
    <row r="26" spans="1:15" ht="13.5" customHeight="1">
      <c r="A26" s="354" t="s">
        <v>906</v>
      </c>
      <c r="B26" s="355"/>
      <c r="C26" s="1335" t="s">
        <v>111</v>
      </c>
      <c r="D26" s="374">
        <f>SUM(D23:D25)</f>
        <v>10369</v>
      </c>
      <c r="E26" s="291">
        <f>SUM(E23:E25)</f>
        <v>10369</v>
      </c>
      <c r="F26" s="291">
        <f>SUM(F23:F25)</f>
        <v>0</v>
      </c>
      <c r="G26" s="291">
        <f>SUM(G23:G25)</f>
        <v>0</v>
      </c>
      <c r="H26" s="291">
        <f>SUM(H24:H25)</f>
        <v>0</v>
      </c>
      <c r="I26" s="291">
        <f>SUM(I24:I25)</f>
        <v>0</v>
      </c>
      <c r="J26" s="291">
        <f>SUM(J23:J25)</f>
        <v>0</v>
      </c>
      <c r="K26" s="291">
        <f>SUM(K23:K25)</f>
        <v>0</v>
      </c>
      <c r="L26" s="305" t="s">
        <v>111</v>
      </c>
      <c r="M26" s="177"/>
    </row>
    <row r="27" spans="1:15">
      <c r="A27" s="96"/>
      <c r="B27" s="96"/>
      <c r="C27" s="175"/>
      <c r="D27" s="385"/>
      <c r="E27" s="386" t="str">
        <f>IF(SUM(E23:E25)=E21,"","Check line 12")</f>
        <v/>
      </c>
      <c r="F27" s="385"/>
      <c r="G27" s="386" t="str">
        <f>IF(SUM(G23:G25)=G21,"","Check line 12")</f>
        <v/>
      </c>
      <c r="H27" s="385"/>
      <c r="I27" s="386" t="str">
        <f>IF(SUM(I24:I25)=I21,"","Check line 12")</f>
        <v/>
      </c>
      <c r="J27" s="1277"/>
      <c r="K27" s="387" t="str">
        <f>IF(SUM(K23:K25)=K21,"","Check line 12")</f>
        <v/>
      </c>
      <c r="L27" s="1276"/>
      <c r="M27" s="1267"/>
      <c r="N27" s="1267"/>
      <c r="O27" s="177"/>
    </row>
    <row r="28" spans="1:15">
      <c r="A28" s="269" t="s">
        <v>907</v>
      </c>
      <c r="B28" s="96"/>
      <c r="C28" s="175"/>
      <c r="D28" s="385"/>
      <c r="E28" s="385"/>
      <c r="F28" s="385"/>
      <c r="G28" s="385"/>
      <c r="H28" s="385"/>
      <c r="I28" s="385"/>
      <c r="J28" s="1277"/>
      <c r="K28" s="1277"/>
      <c r="L28" s="1276"/>
      <c r="M28" s="1275"/>
      <c r="N28" s="1275"/>
      <c r="O28" s="177"/>
    </row>
    <row r="29" spans="1:15">
      <c r="A29" s="305" t="s">
        <v>1378</v>
      </c>
      <c r="B29" s="96"/>
      <c r="E29" s="56"/>
      <c r="F29" s="1277"/>
      <c r="G29" s="1277"/>
      <c r="H29" s="1277"/>
      <c r="I29" s="1277"/>
      <c r="J29" s="1277"/>
      <c r="K29" s="1277"/>
      <c r="L29" s="1276"/>
      <c r="M29" s="1275"/>
      <c r="N29" s="1275"/>
      <c r="O29" s="177"/>
    </row>
    <row r="30" spans="1:15">
      <c r="A30" s="388" t="str">
        <f>IF((E29&gt;0),"Districts that are levying any amount for adjacent ways must fill in the Truth in Taxation Worksheet and follow the requirements of A.R.S. Sec. 15-905.01. The amount reported in footnote 2 above pulls to the Truth in Taxation Worksheet, Line 12.","")</f>
        <v/>
      </c>
      <c r="B30" s="96"/>
      <c r="C30" s="175"/>
      <c r="D30" s="1277"/>
      <c r="E30" s="1277"/>
      <c r="F30" s="1278"/>
      <c r="G30" s="1277"/>
      <c r="H30" s="1277"/>
      <c r="I30" s="1278"/>
      <c r="J30" s="1277"/>
      <c r="K30" s="1277"/>
      <c r="L30" s="1276"/>
      <c r="M30" s="1275"/>
      <c r="N30" s="1275"/>
      <c r="O30" s="290"/>
    </row>
    <row r="31" spans="1:15">
      <c r="A31" s="96"/>
      <c r="B31" s="96"/>
      <c r="C31" s="175"/>
      <c r="D31" s="1277"/>
      <c r="E31" s="1277"/>
      <c r="F31" s="1278"/>
      <c r="G31" s="1277"/>
      <c r="H31" s="1277"/>
      <c r="I31" s="1278"/>
      <c r="J31" s="1277"/>
      <c r="K31" s="1278"/>
      <c r="L31" s="1276"/>
      <c r="M31" s="1267"/>
      <c r="N31" s="1267"/>
      <c r="O31" s="177"/>
    </row>
    <row r="32" spans="1:15">
      <c r="A32" s="96"/>
      <c r="B32" s="96"/>
      <c r="D32" s="1646"/>
      <c r="E32" s="1646"/>
      <c r="F32" s="1278"/>
      <c r="G32" s="1646"/>
      <c r="H32" s="1646"/>
      <c r="I32" s="1278"/>
      <c r="J32" s="1646"/>
      <c r="K32" s="1646"/>
      <c r="L32" s="1648"/>
      <c r="M32" s="1647"/>
      <c r="N32" s="1647"/>
      <c r="O32" s="290"/>
    </row>
    <row r="33" spans="1:15">
      <c r="A33" s="96"/>
      <c r="B33" s="96"/>
      <c r="C33" s="175"/>
      <c r="D33" s="1613"/>
      <c r="E33" s="1613"/>
      <c r="F33" s="1278"/>
      <c r="G33" s="1646"/>
      <c r="H33" s="1646"/>
      <c r="I33" s="1278"/>
      <c r="J33" s="1613"/>
      <c r="K33" s="1649"/>
      <c r="L33" s="1648"/>
      <c r="M33" s="1630"/>
      <c r="N33" s="1630"/>
      <c r="O33" s="177"/>
    </row>
    <row r="34" spans="1:15">
      <c r="A34" s="96"/>
      <c r="B34" s="1297"/>
      <c r="C34" s="175"/>
      <c r="D34" s="1277"/>
      <c r="E34" s="1277"/>
      <c r="F34" s="1277"/>
      <c r="G34" s="1277"/>
      <c r="H34" s="1277"/>
      <c r="I34" s="1277"/>
      <c r="J34" s="1277"/>
      <c r="K34" s="1277"/>
      <c r="L34" s="1276"/>
      <c r="M34" s="1267"/>
      <c r="N34" s="1267"/>
      <c r="O34" s="177"/>
    </row>
    <row r="35" spans="1:15">
      <c r="A35" s="96"/>
      <c r="B35" s="96"/>
      <c r="C35" s="175"/>
      <c r="D35" s="1277"/>
      <c r="E35" s="1277"/>
      <c r="F35" s="1277"/>
      <c r="G35" s="1277"/>
      <c r="H35" s="1277"/>
      <c r="I35" s="1277"/>
      <c r="J35" s="1277"/>
      <c r="K35" s="1277"/>
      <c r="L35" s="1276"/>
      <c r="M35" s="1267"/>
      <c r="N35" s="1267"/>
      <c r="O35" s="177"/>
    </row>
    <row r="36" spans="1:15">
      <c r="A36" s="96"/>
      <c r="B36" s="96"/>
      <c r="C36" s="175"/>
      <c r="D36" s="1277"/>
      <c r="E36" s="1277"/>
      <c r="F36" s="1277"/>
      <c r="G36" s="1277"/>
      <c r="H36" s="1277"/>
      <c r="I36" s="1277"/>
      <c r="J36" s="1277"/>
      <c r="K36" s="1277"/>
      <c r="L36" s="1276"/>
      <c r="M36" s="1267"/>
      <c r="N36" s="1267"/>
      <c r="O36" s="177"/>
    </row>
    <row r="37" spans="1:15">
      <c r="A37" s="96"/>
      <c r="B37" s="96"/>
      <c r="C37" s="175"/>
      <c r="D37" s="1277"/>
      <c r="E37" s="1277"/>
      <c r="F37" s="1277"/>
      <c r="G37" s="1277"/>
      <c r="H37" s="1277"/>
      <c r="I37" s="1277"/>
      <c r="J37" s="1277"/>
      <c r="K37" s="1277"/>
      <c r="L37" s="1276"/>
      <c r="M37" s="1267"/>
      <c r="N37" s="1267"/>
      <c r="O37" s="177"/>
    </row>
    <row r="38" spans="1:15">
      <c r="A38" s="96"/>
      <c r="B38" s="96"/>
      <c r="C38" s="175"/>
      <c r="D38" s="1277"/>
      <c r="E38" s="1277"/>
      <c r="F38" s="1277"/>
      <c r="G38" s="1277"/>
      <c r="H38" s="1277"/>
      <c r="I38" s="1277"/>
      <c r="J38" s="1277"/>
      <c r="K38" s="1277"/>
      <c r="L38" s="1276"/>
      <c r="M38" s="1267"/>
      <c r="N38" s="1267"/>
      <c r="O38" s="177"/>
    </row>
    <row r="39" spans="1:15">
      <c r="A39" s="96"/>
      <c r="B39" s="96"/>
      <c r="C39" s="175"/>
      <c r="D39" s="1277"/>
      <c r="E39" s="1277"/>
      <c r="F39" s="1277"/>
      <c r="G39" s="1277"/>
      <c r="H39" s="1277"/>
      <c r="I39" s="1277"/>
      <c r="J39" s="1277"/>
      <c r="K39" s="1277"/>
      <c r="L39" s="1276"/>
      <c r="M39" s="1267"/>
      <c r="N39" s="1267"/>
      <c r="O39" s="177"/>
    </row>
    <row r="40" spans="1:15">
      <c r="A40" s="96"/>
      <c r="B40" s="96"/>
      <c r="C40" s="175"/>
      <c r="D40" s="1277"/>
      <c r="E40" s="1277"/>
      <c r="F40" s="1277"/>
      <c r="G40" s="1277"/>
      <c r="H40" s="1277"/>
      <c r="I40" s="1277"/>
      <c r="J40" s="1277"/>
      <c r="K40" s="1277"/>
      <c r="L40" s="1276"/>
      <c r="M40" s="1275"/>
      <c r="N40" s="1275"/>
      <c r="O40" s="177"/>
    </row>
    <row r="41" spans="1:15">
      <c r="B41" s="96"/>
      <c r="C41" s="175"/>
    </row>
  </sheetData>
  <sheetProtection sheet="1" formatCells="0" formatColumns="0" formatRows="0"/>
  <mergeCells count="18">
    <mergeCell ref="J5:K5"/>
    <mergeCell ref="J6:K6"/>
    <mergeCell ref="D6:E6"/>
    <mergeCell ref="F6:G6"/>
    <mergeCell ref="M32:M33"/>
    <mergeCell ref="H32:H33"/>
    <mergeCell ref="D32:D33"/>
    <mergeCell ref="B1:E1"/>
    <mergeCell ref="D5:E5"/>
    <mergeCell ref="F5:G5"/>
    <mergeCell ref="H5:I5"/>
    <mergeCell ref="H6:I6"/>
    <mergeCell ref="E32:E33"/>
    <mergeCell ref="G32:G33"/>
    <mergeCell ref="N32:N33"/>
    <mergeCell ref="L32:L33"/>
    <mergeCell ref="J32:J33"/>
    <mergeCell ref="K32:K33"/>
  </mergeCells>
  <hyperlinks>
    <hyperlink ref="A9" location="Page5SelectExp" display="Select object codes detail (1)" xr:uid="{00000000-0004-0000-0500-000000000000}"/>
    <hyperlink ref="J5:K6" location="AdjacentWays" display="Adjacent Ways" xr:uid="{00000000-0004-0000-0500-000001000000}"/>
    <hyperlink ref="A5" location="Page5SelectExp" display="Instructions" xr:uid="{00000000-0004-0000-0500-000002000000}"/>
  </hyperlinks>
  <printOptions horizontalCentered="1"/>
  <pageMargins left="0.25" right="0.25" top="0.25" bottom="0.25" header="0" footer="0.15"/>
  <pageSetup paperSize="5" orientation="landscape" r:id="rId1"/>
  <headerFooter alignWithMargins="0">
    <oddFooter>&amp;L&amp;"Times New Roman,Bold"&amp;9Rev. 5/26&amp;K000000 Arizona Department of Education and Auditor General&amp;C&amp;"Times New Roman,Regular"&amp;9&amp;D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codeName="Sheet8">
    <pageSetUpPr fitToPage="1"/>
  </sheetPr>
  <dimension ref="A1:AB57"/>
  <sheetViews>
    <sheetView showGridLines="0" tabSelected="1" workbookViewId="0">
      <selection activeCell="T39" sqref="T39"/>
    </sheetView>
  </sheetViews>
  <sheetFormatPr defaultColWidth="9.81640625" defaultRowHeight="15"/>
  <cols>
    <col min="1" max="1" width="3" customWidth="1"/>
    <col min="2" max="2" width="1" customWidth="1"/>
    <col min="4" max="4" width="28" customWidth="1"/>
    <col min="5" max="5" width="4.81640625" customWidth="1"/>
    <col min="6" max="6" width="7.81640625" customWidth="1"/>
    <col min="7" max="7" width="5.81640625" customWidth="1"/>
    <col min="8" max="8" width="2.81640625" customWidth="1"/>
    <col min="9" max="9" width="10.81640625" customWidth="1"/>
    <col min="10" max="10" width="11" customWidth="1"/>
    <col min="11" max="11" width="2.81640625" customWidth="1"/>
    <col min="12" max="12" width="4.81640625" customWidth="1"/>
    <col min="13" max="13" width="2.81640625" customWidth="1"/>
    <col min="14" max="14" width="1.81640625" customWidth="1"/>
    <col min="16" max="16" width="9.81640625" customWidth="1"/>
    <col min="17" max="17" width="8.453125" customWidth="1"/>
    <col min="18" max="18" width="4.81640625" customWidth="1"/>
    <col min="21" max="21" width="3" customWidth="1"/>
  </cols>
  <sheetData>
    <row r="1" spans="1:21" ht="15" customHeight="1">
      <c r="A1" s="138"/>
      <c r="B1" s="138"/>
      <c r="C1" s="1266" t="s">
        <v>140</v>
      </c>
      <c r="D1" s="1546" t="str">
        <f>DistrictName</f>
        <v>Stanfield Elementary School District</v>
      </c>
      <c r="E1" s="1546"/>
      <c r="F1" s="1546"/>
      <c r="H1" s="138"/>
      <c r="I1" s="1266" t="s">
        <v>1</v>
      </c>
      <c r="J1" s="1538" t="str">
        <f>Cover!H1</f>
        <v>Pinal</v>
      </c>
      <c r="K1" s="1537"/>
      <c r="L1" s="1537"/>
      <c r="M1" s="138"/>
      <c r="N1" s="138"/>
      <c r="O1" s="1266" t="s">
        <v>202</v>
      </c>
      <c r="P1" s="1536" t="str">
        <f>Cover!S1</f>
        <v>110424000</v>
      </c>
      <c r="Q1" s="1537"/>
      <c r="R1" s="138"/>
      <c r="S1" s="1266" t="s">
        <v>16</v>
      </c>
      <c r="T1" s="1263" t="str">
        <f>Cover!C8</f>
        <v>Proposed</v>
      </c>
      <c r="U1" s="138"/>
    </row>
    <row r="2" spans="1:21" ht="8.25" customHeight="1">
      <c r="A2" s="138"/>
      <c r="B2" s="138"/>
      <c r="C2" s="138"/>
      <c r="D2" s="138"/>
      <c r="E2" s="138"/>
      <c r="F2" s="138"/>
      <c r="G2" s="138"/>
      <c r="H2" s="138"/>
      <c r="I2" s="138"/>
      <c r="J2" s="138"/>
      <c r="K2" s="138"/>
      <c r="L2" s="138"/>
      <c r="M2" s="138"/>
      <c r="N2" s="138"/>
      <c r="O2" s="138"/>
      <c r="P2" s="138"/>
      <c r="Q2" s="138"/>
      <c r="R2" s="138"/>
      <c r="S2" s="138"/>
      <c r="T2" s="138"/>
      <c r="U2" s="138"/>
    </row>
    <row r="3" spans="1:21" ht="12" customHeight="1">
      <c r="B3" s="1124" t="s">
        <v>203</v>
      </c>
      <c r="C3" s="389"/>
      <c r="E3" s="389"/>
      <c r="F3" s="390" t="s">
        <v>42</v>
      </c>
      <c r="G3" s="1539"/>
      <c r="H3" s="1540"/>
      <c r="I3" s="391"/>
      <c r="J3" s="392"/>
      <c r="K3" s="393"/>
      <c r="L3" s="393"/>
      <c r="M3" s="116" t="s">
        <v>204</v>
      </c>
      <c r="N3" s="116"/>
      <c r="O3" s="116"/>
      <c r="P3" s="116"/>
      <c r="Q3" s="116"/>
      <c r="R3" s="116"/>
      <c r="U3" s="3"/>
    </row>
    <row r="4" spans="1:21" ht="12" customHeight="1">
      <c r="A4" s="394"/>
      <c r="B4" s="1547" t="s">
        <v>692</v>
      </c>
      <c r="C4" s="1548"/>
      <c r="D4" s="1548"/>
      <c r="E4" s="389"/>
      <c r="F4" s="395"/>
      <c r="G4" s="396"/>
      <c r="H4" s="397"/>
      <c r="I4" s="398"/>
      <c r="J4" s="399"/>
      <c r="K4" s="393"/>
      <c r="L4" s="393"/>
      <c r="S4" s="210" t="s">
        <v>129</v>
      </c>
      <c r="T4" s="210" t="s">
        <v>130</v>
      </c>
    </row>
    <row r="5" spans="1:21" ht="12" customHeight="1">
      <c r="A5" s="400"/>
      <c r="B5" s="400"/>
      <c r="C5" s="389"/>
      <c r="D5" s="389"/>
      <c r="E5" s="400"/>
      <c r="F5" s="1541" t="s">
        <v>80</v>
      </c>
      <c r="G5" s="1542"/>
      <c r="H5" s="1543"/>
      <c r="I5" s="1126" t="s">
        <v>205</v>
      </c>
      <c r="J5" s="1127"/>
      <c r="K5" s="393"/>
      <c r="L5" s="393"/>
      <c r="M5" s="401" t="s">
        <v>6</v>
      </c>
      <c r="N5" s="1267"/>
      <c r="O5" s="324" t="s">
        <v>206</v>
      </c>
      <c r="Q5" s="116"/>
      <c r="R5" s="96"/>
      <c r="S5" s="402">
        <f>[1]!F050BudgFY</f>
        <v>0</v>
      </c>
      <c r="T5" s="12"/>
      <c r="U5" s="404" t="s">
        <v>6</v>
      </c>
    </row>
    <row r="6" spans="1:21" ht="12" customHeight="1">
      <c r="A6" s="1125" t="s">
        <v>207</v>
      </c>
      <c r="B6" s="393"/>
      <c r="C6" s="405"/>
      <c r="D6" s="405"/>
      <c r="E6" s="405"/>
      <c r="F6" s="1359" t="s">
        <v>129</v>
      </c>
      <c r="G6" s="1544" t="s">
        <v>130</v>
      </c>
      <c r="H6" s="1545"/>
      <c r="I6" s="397" t="s">
        <v>129</v>
      </c>
      <c r="J6" s="1360" t="s">
        <v>130</v>
      </c>
      <c r="K6" s="393"/>
      <c r="L6" s="393"/>
      <c r="M6" s="406" t="s">
        <v>8</v>
      </c>
      <c r="N6" s="1267"/>
      <c r="O6" s="324" t="s">
        <v>208</v>
      </c>
      <c r="R6" s="96"/>
      <c r="S6" s="403">
        <f>F071CurrFY</f>
        <v>0</v>
      </c>
      <c r="T6" s="403">
        <f>F071BudgFY</f>
        <v>0</v>
      </c>
      <c r="U6" s="404" t="s">
        <v>8</v>
      </c>
    </row>
    <row r="7" spans="1:21" ht="12" customHeight="1">
      <c r="A7" s="401" t="s">
        <v>6</v>
      </c>
      <c r="B7" s="393"/>
      <c r="C7" s="1079" t="s">
        <v>1078</v>
      </c>
      <c r="D7" s="400"/>
      <c r="E7" s="401"/>
      <c r="F7" s="1361">
        <f>[1]!F100130Personnel</f>
        <v>0</v>
      </c>
      <c r="G7" s="1535"/>
      <c r="H7" s="1535"/>
      <c r="I7" s="1362">
        <v>177305</v>
      </c>
      <c r="J7" s="1071">
        <f>I7</f>
        <v>177305</v>
      </c>
      <c r="K7" s="404" t="s">
        <v>6</v>
      </c>
      <c r="L7" s="393"/>
      <c r="M7" s="406" t="s">
        <v>22</v>
      </c>
      <c r="N7" s="1267"/>
      <c r="O7" s="324" t="s">
        <v>209</v>
      </c>
      <c r="R7" s="96"/>
      <c r="S7" s="403">
        <f>F072CurrFY</f>
        <v>0</v>
      </c>
      <c r="T7" s="403">
        <f>F072BudgFY</f>
        <v>0</v>
      </c>
      <c r="U7" s="404" t="s">
        <v>22</v>
      </c>
    </row>
    <row r="8" spans="1:21" ht="12" customHeight="1">
      <c r="A8" s="401" t="s">
        <v>8</v>
      </c>
      <c r="B8" s="393"/>
      <c r="C8" s="1079" t="s">
        <v>1079</v>
      </c>
      <c r="D8" s="400"/>
      <c r="E8" s="401"/>
      <c r="F8" s="1361">
        <f>[1]!F140150Personnel</f>
        <v>0</v>
      </c>
      <c r="G8" s="1535"/>
      <c r="H8" s="1535"/>
      <c r="I8" s="1362">
        <f>[1]!F140150BudgFY</f>
        <v>0</v>
      </c>
      <c r="J8" s="1071">
        <f t="shared" ref="J8:J25" si="0">I8</f>
        <v>0</v>
      </c>
      <c r="K8" s="404" t="s">
        <v>8</v>
      </c>
      <c r="L8" s="401"/>
      <c r="M8" s="407" t="s">
        <v>40</v>
      </c>
      <c r="N8" s="1267"/>
      <c r="O8" s="1080" t="s">
        <v>210</v>
      </c>
      <c r="R8" s="96"/>
      <c r="S8" s="403">
        <v>27527</v>
      </c>
      <c r="T8" s="12">
        <v>30000</v>
      </c>
      <c r="U8" s="408" t="s">
        <v>40</v>
      </c>
    </row>
    <row r="9" spans="1:21" ht="12" customHeight="1">
      <c r="A9" s="401" t="s">
        <v>22</v>
      </c>
      <c r="B9" s="393"/>
      <c r="C9" s="1079" t="s">
        <v>1080</v>
      </c>
      <c r="D9" s="400"/>
      <c r="E9" s="401"/>
      <c r="F9" s="1361">
        <f>[1]!F160Personnel</f>
        <v>0</v>
      </c>
      <c r="G9" s="1535"/>
      <c r="H9" s="1535"/>
      <c r="I9" s="1362">
        <v>0</v>
      </c>
      <c r="J9" s="1071">
        <f t="shared" si="0"/>
        <v>0</v>
      </c>
      <c r="K9" s="404" t="s">
        <v>22</v>
      </c>
      <c r="L9" s="401"/>
      <c r="M9" s="409" t="s">
        <v>98</v>
      </c>
      <c r="N9" s="96"/>
      <c r="O9" s="324" t="s">
        <v>211</v>
      </c>
      <c r="P9" s="96"/>
      <c r="Q9" s="96"/>
      <c r="R9" s="401"/>
      <c r="S9" s="403">
        <v>233114</v>
      </c>
      <c r="T9" s="13">
        <f>S9</f>
        <v>233114</v>
      </c>
      <c r="U9" s="408" t="s">
        <v>98</v>
      </c>
    </row>
    <row r="10" spans="1:21" ht="12" customHeight="1">
      <c r="A10" s="401" t="s">
        <v>40</v>
      </c>
      <c r="B10" s="393"/>
      <c r="C10" s="1079" t="s">
        <v>1081</v>
      </c>
      <c r="D10" s="400"/>
      <c r="E10" s="401"/>
      <c r="F10" s="1361">
        <f>[1]!F170180Personnel</f>
        <v>0</v>
      </c>
      <c r="G10" s="1535"/>
      <c r="H10" s="1535"/>
      <c r="I10" s="1362">
        <f ca="1">0+I10</f>
        <v>0</v>
      </c>
      <c r="J10" s="1071">
        <f t="shared" ca="1" si="0"/>
        <v>0</v>
      </c>
      <c r="K10" s="404" t="s">
        <v>40</v>
      </c>
      <c r="L10" s="401"/>
      <c r="M10" s="409" t="s">
        <v>99</v>
      </c>
      <c r="N10" s="1267"/>
      <c r="O10" s="324" t="s">
        <v>212</v>
      </c>
      <c r="P10" s="96"/>
      <c r="Q10" s="96"/>
      <c r="R10" s="401"/>
      <c r="S10" s="403">
        <v>16733</v>
      </c>
      <c r="T10" s="13">
        <v>19000</v>
      </c>
      <c r="U10" s="408" t="s">
        <v>99</v>
      </c>
    </row>
    <row r="11" spans="1:21" ht="12" customHeight="1">
      <c r="A11" s="401" t="s">
        <v>98</v>
      </c>
      <c r="B11" s="393"/>
      <c r="C11" s="1079" t="s">
        <v>1082</v>
      </c>
      <c r="D11" s="400"/>
      <c r="E11" s="401"/>
      <c r="F11" s="1361">
        <f>[1]!F190Personnel</f>
        <v>0</v>
      </c>
      <c r="G11" s="1535"/>
      <c r="H11" s="1535"/>
      <c r="I11" s="1362">
        <v>21266</v>
      </c>
      <c r="J11" s="1071">
        <f t="shared" si="0"/>
        <v>21266</v>
      </c>
      <c r="K11" s="404" t="s">
        <v>98</v>
      </c>
      <c r="L11" s="401"/>
      <c r="M11" s="409" t="s">
        <v>100</v>
      </c>
      <c r="N11" s="1267"/>
      <c r="O11" s="324" t="s">
        <v>213</v>
      </c>
      <c r="P11" s="96"/>
      <c r="Q11" s="96"/>
      <c r="R11" s="401"/>
      <c r="S11" s="403">
        <v>895</v>
      </c>
      <c r="T11" s="12">
        <v>925</v>
      </c>
      <c r="U11" s="408" t="s">
        <v>100</v>
      </c>
    </row>
    <row r="12" spans="1:21" ht="12" customHeight="1">
      <c r="A12" s="401" t="s">
        <v>99</v>
      </c>
      <c r="B12" s="393"/>
      <c r="C12" s="1079" t="s">
        <v>1083</v>
      </c>
      <c r="D12" s="400"/>
      <c r="E12" s="401"/>
      <c r="F12" s="1361">
        <f>[1]!F200Personnel</f>
        <v>0</v>
      </c>
      <c r="G12" s="1535"/>
      <c r="H12" s="1535"/>
      <c r="I12" s="1362">
        <f>[1]!F200BudgFY</f>
        <v>11618</v>
      </c>
      <c r="J12" s="1071">
        <f t="shared" si="0"/>
        <v>11618</v>
      </c>
      <c r="K12" s="404" t="s">
        <v>99</v>
      </c>
      <c r="L12" s="401"/>
      <c r="M12" s="409" t="s">
        <v>102</v>
      </c>
      <c r="N12" s="1267"/>
      <c r="O12" s="324" t="s">
        <v>214</v>
      </c>
      <c r="P12" s="96"/>
      <c r="Q12" s="96"/>
      <c r="R12" s="96"/>
      <c r="S12" s="403">
        <v>54485</v>
      </c>
      <c r="T12" s="13">
        <v>60000</v>
      </c>
      <c r="U12" s="408" t="s">
        <v>102</v>
      </c>
    </row>
    <row r="13" spans="1:21" ht="12" customHeight="1">
      <c r="A13" s="401" t="s">
        <v>100</v>
      </c>
      <c r="B13" s="393"/>
      <c r="C13" s="1079" t="s">
        <v>1019</v>
      </c>
      <c r="D13" s="400"/>
      <c r="E13" s="401"/>
      <c r="F13" s="1361">
        <f>[1]!F210Personnel</f>
        <v>0</v>
      </c>
      <c r="G13" s="1535"/>
      <c r="H13" s="1535"/>
      <c r="I13" s="1362">
        <f>[1]!F210BudgFY</f>
        <v>0</v>
      </c>
      <c r="J13" s="1071">
        <f t="shared" si="0"/>
        <v>0</v>
      </c>
      <c r="K13" s="404" t="s">
        <v>100</v>
      </c>
      <c r="L13" s="401"/>
      <c r="M13" s="409" t="s">
        <v>103</v>
      </c>
      <c r="N13" s="1267"/>
      <c r="O13" s="324" t="s">
        <v>215</v>
      </c>
      <c r="P13" s="96"/>
      <c r="Q13" s="96"/>
      <c r="R13" s="401"/>
      <c r="S13" s="403">
        <v>37631</v>
      </c>
      <c r="T13" s="13">
        <v>40000</v>
      </c>
      <c r="U13" s="408" t="s">
        <v>103</v>
      </c>
    </row>
    <row r="14" spans="1:21" ht="12" customHeight="1">
      <c r="A14" s="401" t="s">
        <v>102</v>
      </c>
      <c r="B14" s="393"/>
      <c r="C14" s="1079" t="s">
        <v>1076</v>
      </c>
      <c r="D14" s="400"/>
      <c r="E14" s="401"/>
      <c r="F14" s="1361">
        <f>[1]!F220Personnel</f>
        <v>0</v>
      </c>
      <c r="G14" s="1535"/>
      <c r="H14" s="1535"/>
      <c r="I14" s="1362">
        <v>126918</v>
      </c>
      <c r="J14" s="1071">
        <f t="shared" si="0"/>
        <v>126918</v>
      </c>
      <c r="K14" s="404" t="s">
        <v>102</v>
      </c>
      <c r="L14" s="401"/>
      <c r="M14" s="409" t="s">
        <v>104</v>
      </c>
      <c r="N14" s="1267"/>
      <c r="O14" s="324" t="s">
        <v>216</v>
      </c>
      <c r="R14" s="401"/>
      <c r="S14" s="403">
        <v>33053</v>
      </c>
      <c r="T14" s="13">
        <v>42000</v>
      </c>
      <c r="U14" s="408" t="s">
        <v>104</v>
      </c>
    </row>
    <row r="15" spans="1:21" ht="12" customHeight="1">
      <c r="A15" s="401" t="s">
        <v>103</v>
      </c>
      <c r="B15" s="393"/>
      <c r="C15" s="1079" t="s">
        <v>217</v>
      </c>
      <c r="D15" s="400"/>
      <c r="E15" s="401"/>
      <c r="F15" s="1361">
        <f>[1]!F230Personnel</f>
        <v>0</v>
      </c>
      <c r="G15" s="1535"/>
      <c r="H15" s="1535"/>
      <c r="I15" s="1362">
        <v>20846</v>
      </c>
      <c r="J15" s="1071">
        <f t="shared" si="0"/>
        <v>20846</v>
      </c>
      <c r="K15" s="404" t="s">
        <v>103</v>
      </c>
      <c r="L15" s="401"/>
      <c r="M15" s="409" t="s">
        <v>105</v>
      </c>
      <c r="N15" s="1267"/>
      <c r="O15" s="1081" t="s">
        <v>218</v>
      </c>
      <c r="P15" s="96"/>
      <c r="Q15" s="96"/>
      <c r="R15" s="401"/>
      <c r="S15" s="403">
        <f>[1]!F535BudgFY</f>
        <v>0</v>
      </c>
      <c r="T15" s="12"/>
      <c r="U15" s="408" t="s">
        <v>105</v>
      </c>
    </row>
    <row r="16" spans="1:21" ht="12" customHeight="1">
      <c r="A16" s="401" t="s">
        <v>104</v>
      </c>
      <c r="B16" s="393"/>
      <c r="C16" s="1079" t="s">
        <v>1077</v>
      </c>
      <c r="D16" s="400"/>
      <c r="E16" s="401"/>
      <c r="F16" s="1361">
        <f>[1]!F240Personnel</f>
        <v>0</v>
      </c>
      <c r="G16" s="1535"/>
      <c r="H16" s="1535"/>
      <c r="I16" s="1362">
        <f>[1]!F240BudgFY</f>
        <v>0</v>
      </c>
      <c r="J16" s="1071">
        <f t="shared" si="0"/>
        <v>0</v>
      </c>
      <c r="K16" s="404" t="s">
        <v>104</v>
      </c>
      <c r="L16" s="401"/>
      <c r="M16" s="409" t="s">
        <v>106</v>
      </c>
      <c r="N16" s="1267"/>
      <c r="O16" s="177" t="s">
        <v>219</v>
      </c>
      <c r="P16" s="96"/>
      <c r="Q16" s="96"/>
      <c r="R16" s="401"/>
      <c r="S16" s="403">
        <v>1660</v>
      </c>
      <c r="T16" s="12">
        <f>S16</f>
        <v>1660</v>
      </c>
      <c r="U16" s="408" t="s">
        <v>106</v>
      </c>
    </row>
    <row r="17" spans="1:21" ht="12" customHeight="1">
      <c r="A17" s="401" t="s">
        <v>105</v>
      </c>
      <c r="B17" s="393"/>
      <c r="C17" s="1079" t="s">
        <v>220</v>
      </c>
      <c r="D17" s="400"/>
      <c r="E17" s="401"/>
      <c r="F17" s="1361">
        <f>[1]!F250Personnel</f>
        <v>0</v>
      </c>
      <c r="G17" s="1535"/>
      <c r="H17" s="1535"/>
      <c r="I17" s="1362">
        <f>[1]!F250BudgFY</f>
        <v>0</v>
      </c>
      <c r="J17" s="1071">
        <f t="shared" si="0"/>
        <v>0</v>
      </c>
      <c r="K17" s="404" t="s">
        <v>105</v>
      </c>
      <c r="L17" s="401"/>
      <c r="M17" s="409" t="s">
        <v>107</v>
      </c>
      <c r="N17" s="1267"/>
      <c r="O17" s="177" t="s">
        <v>221</v>
      </c>
      <c r="P17" s="96"/>
      <c r="Q17" s="96"/>
      <c r="R17" s="401"/>
      <c r="S17" s="403">
        <f>[1]!F545BudgFY</f>
        <v>0</v>
      </c>
      <c r="T17" s="13"/>
      <c r="U17" s="408" t="s">
        <v>107</v>
      </c>
    </row>
    <row r="18" spans="1:21" ht="12" customHeight="1">
      <c r="A18" s="401" t="s">
        <v>106</v>
      </c>
      <c r="B18" s="393"/>
      <c r="C18" s="1079" t="s">
        <v>222</v>
      </c>
      <c r="D18" s="400"/>
      <c r="E18" s="401"/>
      <c r="F18" s="1361">
        <f>[1]!F260270Personnel</f>
        <v>0</v>
      </c>
      <c r="G18" s="1535"/>
      <c r="H18" s="1535"/>
      <c r="I18" s="1362">
        <f>[1]!F260270BudgFY</f>
        <v>0</v>
      </c>
      <c r="J18" s="1071">
        <f t="shared" si="0"/>
        <v>0</v>
      </c>
      <c r="K18" s="404" t="s">
        <v>106</v>
      </c>
      <c r="L18" s="401"/>
      <c r="M18" s="409" t="s">
        <v>108</v>
      </c>
      <c r="N18" s="1267"/>
      <c r="O18" s="324" t="s">
        <v>223</v>
      </c>
      <c r="P18" s="96"/>
      <c r="Q18" s="96"/>
      <c r="R18" s="401"/>
      <c r="S18" s="403">
        <v>180243</v>
      </c>
      <c r="T18" s="12">
        <v>290000</v>
      </c>
      <c r="U18" s="408" t="s">
        <v>108</v>
      </c>
    </row>
    <row r="19" spans="1:21" ht="12" customHeight="1">
      <c r="A19" s="401" t="s">
        <v>107</v>
      </c>
      <c r="B19" s="393"/>
      <c r="C19" s="1079" t="s">
        <v>224</v>
      </c>
      <c r="D19" s="400"/>
      <c r="E19" s="401"/>
      <c r="F19" s="1361">
        <f>[1]!F280Personnel</f>
        <v>0</v>
      </c>
      <c r="G19" s="1535"/>
      <c r="H19" s="1535"/>
      <c r="I19" s="1362">
        <f>[1]!F280BudgFY</f>
        <v>0</v>
      </c>
      <c r="J19" s="1071">
        <f t="shared" si="0"/>
        <v>0</v>
      </c>
      <c r="K19" s="413" t="s">
        <v>107</v>
      </c>
      <c r="L19" s="401"/>
      <c r="M19" s="409" t="s">
        <v>109</v>
      </c>
      <c r="N19" s="1267"/>
      <c r="O19" s="324" t="s">
        <v>225</v>
      </c>
      <c r="P19" s="96"/>
      <c r="Q19" s="96"/>
      <c r="R19" s="401"/>
      <c r="S19" s="403">
        <v>12339</v>
      </c>
      <c r="T19" s="13">
        <v>13000</v>
      </c>
      <c r="U19" s="408" t="s">
        <v>109</v>
      </c>
    </row>
    <row r="20" spans="1:21" ht="12" customHeight="1">
      <c r="A20" s="401" t="s">
        <v>108</v>
      </c>
      <c r="B20" s="393"/>
      <c r="C20" s="1079" t="s">
        <v>226</v>
      </c>
      <c r="D20" s="400"/>
      <c r="E20" s="401"/>
      <c r="F20" s="1361">
        <f>[1]!F290Personnel</f>
        <v>0</v>
      </c>
      <c r="G20" s="1535"/>
      <c r="H20" s="1535"/>
      <c r="I20" s="1362">
        <v>438279</v>
      </c>
      <c r="J20" s="1071">
        <f t="shared" si="0"/>
        <v>438279</v>
      </c>
      <c r="K20" s="413" t="s">
        <v>108</v>
      </c>
      <c r="L20" s="401"/>
      <c r="M20" s="409" t="s">
        <v>110</v>
      </c>
      <c r="N20" s="1267"/>
      <c r="O20" s="324" t="s">
        <v>227</v>
      </c>
      <c r="P20" s="96"/>
      <c r="Q20" s="96"/>
      <c r="R20" s="401"/>
      <c r="S20" s="403">
        <v>61026</v>
      </c>
      <c r="T20" s="13">
        <v>62000</v>
      </c>
      <c r="U20" s="408" t="s">
        <v>110</v>
      </c>
    </row>
    <row r="21" spans="1:21" ht="12" customHeight="1">
      <c r="A21" s="1253" t="s">
        <v>109</v>
      </c>
      <c r="B21" s="393"/>
      <c r="C21" s="1349" t="s">
        <v>228</v>
      </c>
      <c r="F21" s="1361">
        <f>[1]!F349Personnel</f>
        <v>0</v>
      </c>
      <c r="G21" s="1535"/>
      <c r="H21" s="1535"/>
      <c r="I21" s="1362">
        <f>[1]!F349BudFY</f>
        <v>0</v>
      </c>
      <c r="J21" s="1071">
        <f t="shared" si="0"/>
        <v>0</v>
      </c>
      <c r="K21" s="421" t="s">
        <v>109</v>
      </c>
      <c r="L21" s="401"/>
      <c r="M21" s="409" t="s">
        <v>111</v>
      </c>
      <c r="N21" s="410"/>
      <c r="O21" s="324" t="s">
        <v>229</v>
      </c>
      <c r="P21" s="96"/>
      <c r="Q21" s="96"/>
      <c r="R21" s="401"/>
      <c r="S21" s="403">
        <v>77346</v>
      </c>
      <c r="T21" s="13">
        <f>S21</f>
        <v>77346</v>
      </c>
      <c r="U21" s="408" t="s">
        <v>111</v>
      </c>
    </row>
    <row r="22" spans="1:21" ht="12" customHeight="1">
      <c r="A22" s="1254" t="s">
        <v>110</v>
      </c>
      <c r="B22" s="393"/>
      <c r="C22" s="1349" t="s">
        <v>230</v>
      </c>
      <c r="F22" s="1361">
        <f>[1]!F353Personnel</f>
        <v>0</v>
      </c>
      <c r="G22" s="1535"/>
      <c r="H22" s="1535"/>
      <c r="I22" s="1362">
        <f>[1]!F353BudgFY</f>
        <v>0</v>
      </c>
      <c r="J22" s="1071">
        <f t="shared" si="0"/>
        <v>0</v>
      </c>
      <c r="K22" s="421" t="s">
        <v>110</v>
      </c>
      <c r="L22" s="401"/>
      <c r="M22" s="409" t="s">
        <v>112</v>
      </c>
      <c r="N22" s="1267"/>
      <c r="O22" s="324" t="s">
        <v>231</v>
      </c>
      <c r="P22" s="96"/>
      <c r="Q22" s="96"/>
      <c r="R22" s="401"/>
      <c r="S22" s="403">
        <v>1</v>
      </c>
      <c r="T22" s="13">
        <v>0</v>
      </c>
      <c r="U22" s="408" t="s">
        <v>112</v>
      </c>
    </row>
    <row r="23" spans="1:21" ht="12" customHeight="1">
      <c r="A23" s="1253" t="s">
        <v>111</v>
      </c>
      <c r="B23" s="393" t="s">
        <v>42</v>
      </c>
      <c r="C23" s="1081" t="s">
        <v>232</v>
      </c>
      <c r="D23" s="400"/>
      <c r="F23" s="1361">
        <f>[1]!F374Personnel</f>
        <v>0</v>
      </c>
      <c r="G23" s="1535"/>
      <c r="H23" s="1535"/>
      <c r="I23" s="1362">
        <v>561392</v>
      </c>
      <c r="J23" s="1071">
        <f t="shared" si="0"/>
        <v>561392</v>
      </c>
      <c r="K23" s="421" t="s">
        <v>111</v>
      </c>
      <c r="L23" s="401"/>
      <c r="M23" s="120" t="s">
        <v>113</v>
      </c>
      <c r="N23" s="1267"/>
      <c r="O23" s="324" t="s">
        <v>233</v>
      </c>
      <c r="P23" s="96"/>
      <c r="Q23" s="96"/>
      <c r="R23" s="401"/>
      <c r="S23" s="403">
        <f>[1]!F580BudgFY</f>
        <v>0</v>
      </c>
      <c r="T23" s="12">
        <v>0</v>
      </c>
      <c r="U23" s="411" t="s">
        <v>113</v>
      </c>
    </row>
    <row r="24" spans="1:21" ht="12" customHeight="1">
      <c r="A24" s="407" t="s">
        <v>112</v>
      </c>
      <c r="B24" s="393"/>
      <c r="C24" s="1081" t="s">
        <v>234</v>
      </c>
      <c r="D24" s="400"/>
      <c r="E24" s="401"/>
      <c r="F24" s="1361">
        <f>[1]!F378Personnel</f>
        <v>0</v>
      </c>
      <c r="G24" s="1535"/>
      <c r="H24" s="1535"/>
      <c r="I24" s="1362">
        <v>145352</v>
      </c>
      <c r="J24" s="1071">
        <f t="shared" si="0"/>
        <v>145352</v>
      </c>
      <c r="K24" s="421" t="s">
        <v>112</v>
      </c>
      <c r="L24" s="1267"/>
      <c r="M24" s="1267" t="s">
        <v>114</v>
      </c>
      <c r="N24" s="1267"/>
      <c r="O24" s="324" t="s">
        <v>235</v>
      </c>
      <c r="P24" s="96"/>
      <c r="Q24" s="96"/>
      <c r="R24" s="401"/>
      <c r="S24" s="403">
        <v>20381</v>
      </c>
      <c r="T24" s="13">
        <v>22000</v>
      </c>
      <c r="U24" s="3" t="s">
        <v>114</v>
      </c>
    </row>
    <row r="25" spans="1:21" ht="12" customHeight="1">
      <c r="A25" s="407" t="s">
        <v>113</v>
      </c>
      <c r="B25" s="400"/>
      <c r="C25" s="1349" t="s">
        <v>1084</v>
      </c>
      <c r="D25" s="400"/>
      <c r="E25" s="401"/>
      <c r="F25" s="1361">
        <f>[1]!F300399OtherPersonnel</f>
        <v>0</v>
      </c>
      <c r="G25" s="1535"/>
      <c r="H25" s="1535"/>
      <c r="I25" s="1362">
        <v>141429</v>
      </c>
      <c r="J25" s="1071">
        <f t="shared" si="0"/>
        <v>141429</v>
      </c>
      <c r="K25" s="421" t="s">
        <v>113</v>
      </c>
      <c r="L25" s="1267"/>
      <c r="M25" s="1267" t="s">
        <v>115</v>
      </c>
      <c r="N25" s="410"/>
      <c r="O25" s="177" t="s">
        <v>236</v>
      </c>
      <c r="P25" s="96"/>
      <c r="Q25" s="96"/>
      <c r="R25" s="401"/>
      <c r="S25" s="403">
        <v>14</v>
      </c>
      <c r="T25" s="13"/>
      <c r="U25" s="3" t="s">
        <v>115</v>
      </c>
    </row>
    <row r="26" spans="1:21" ht="12" customHeight="1">
      <c r="A26" s="1253" t="s">
        <v>114</v>
      </c>
      <c r="B26" s="393"/>
      <c r="C26" s="1349" t="s">
        <v>1085</v>
      </c>
      <c r="F26" s="1361">
        <f>[1]!F699Personnel</f>
        <v>0</v>
      </c>
      <c r="G26" s="1535"/>
      <c r="H26" s="1535"/>
      <c r="I26" s="1362">
        <f>[1]!F699BudgFY</f>
        <v>0</v>
      </c>
      <c r="J26" s="1071"/>
      <c r="K26" s="413" t="s">
        <v>114</v>
      </c>
      <c r="L26" s="401"/>
      <c r="M26" s="1267" t="s">
        <v>116</v>
      </c>
      <c r="N26" s="410"/>
      <c r="O26" s="324" t="s">
        <v>237</v>
      </c>
      <c r="R26" s="96"/>
      <c r="S26" s="325">
        <f>[1]!F595BudgFY</f>
        <v>0</v>
      </c>
      <c r="T26" s="74"/>
      <c r="U26" s="3" t="s">
        <v>116</v>
      </c>
    </row>
    <row r="27" spans="1:21" ht="12" customHeight="1" thickBot="1">
      <c r="A27" s="1253" t="s">
        <v>115</v>
      </c>
      <c r="B27" s="393"/>
      <c r="C27" s="1081" t="s">
        <v>1089</v>
      </c>
      <c r="D27" s="400"/>
      <c r="E27" s="400"/>
      <c r="F27" s="1332">
        <f>SUM(F7:F26)</f>
        <v>0</v>
      </c>
      <c r="G27" s="1553">
        <f>SUM(G7:H26)</f>
        <v>0</v>
      </c>
      <c r="H27" s="1554"/>
      <c r="I27" s="1333">
        <f ca="1">SUM(I7:I26)</f>
        <v>2230467</v>
      </c>
      <c r="J27" s="1333">
        <f ca="1">SUM(J7:J26)</f>
        <v>2230467</v>
      </c>
      <c r="K27" s="413" t="s">
        <v>115</v>
      </c>
      <c r="L27" s="401"/>
      <c r="M27" s="1267" t="s">
        <v>117</v>
      </c>
      <c r="N27" s="410"/>
      <c r="O27" s="324" t="s">
        <v>238</v>
      </c>
      <c r="R27" s="96"/>
      <c r="S27" s="329">
        <f>[1]!F596BudgFY</f>
        <v>0</v>
      </c>
      <c r="T27" s="12"/>
      <c r="U27" s="3" t="s">
        <v>117</v>
      </c>
    </row>
    <row r="28" spans="1:21" ht="12" customHeight="1" thickTop="1">
      <c r="A28" s="405" t="s">
        <v>239</v>
      </c>
      <c r="B28" s="393"/>
      <c r="C28" s="1128"/>
      <c r="F28" s="1271"/>
      <c r="G28" s="1101"/>
      <c r="H28" s="1102"/>
      <c r="I28" s="1271"/>
      <c r="J28" s="1103"/>
      <c r="K28" s="1252"/>
      <c r="L28" s="401"/>
      <c r="M28" s="407" t="s">
        <v>119</v>
      </c>
      <c r="N28" s="410"/>
      <c r="O28" s="1081" t="s">
        <v>240</v>
      </c>
      <c r="R28" s="199"/>
      <c r="S28" s="403">
        <f>[1]!F597BudgFY</f>
        <v>0</v>
      </c>
      <c r="T28" s="35"/>
      <c r="U28" s="413">
        <v>24</v>
      </c>
    </row>
    <row r="29" spans="1:21" ht="12" customHeight="1">
      <c r="A29" s="191" t="s">
        <v>116</v>
      </c>
      <c r="B29" s="393"/>
      <c r="C29" s="1079" t="s">
        <v>1086</v>
      </c>
      <c r="D29" s="400"/>
      <c r="F29" s="1363">
        <f>[1]!F400Personnel</f>
        <v>0</v>
      </c>
      <c r="G29" s="1551"/>
      <c r="H29" s="1552"/>
      <c r="I29" s="1103">
        <f>[1]!F400BudgFY</f>
        <v>0</v>
      </c>
      <c r="J29" s="1364"/>
      <c r="K29" s="413" t="s">
        <v>116</v>
      </c>
      <c r="L29" s="401"/>
      <c r="M29" s="414" t="s">
        <v>120</v>
      </c>
      <c r="N29" s="96"/>
      <c r="O29" s="177" t="s">
        <v>241</v>
      </c>
      <c r="P29" s="3"/>
      <c r="Q29" s="3"/>
      <c r="R29" s="401"/>
      <c r="S29" s="331">
        <f>[1]!F639BudgFY</f>
        <v>0</v>
      </c>
      <c r="T29" s="12"/>
      <c r="U29" s="415" t="s">
        <v>120</v>
      </c>
    </row>
    <row r="30" spans="1:21" ht="12" customHeight="1">
      <c r="A30" s="191" t="s">
        <v>117</v>
      </c>
      <c r="B30" s="393"/>
      <c r="C30" s="1079" t="s">
        <v>242</v>
      </c>
      <c r="D30" s="400"/>
      <c r="F30" s="1361">
        <f>[1]!F410Personnel</f>
        <v>0</v>
      </c>
      <c r="G30" s="1535"/>
      <c r="H30" s="1535"/>
      <c r="I30" s="1362">
        <f>[1]!F410BudgFY</f>
        <v>0</v>
      </c>
      <c r="J30" s="1071"/>
      <c r="K30" s="413" t="s">
        <v>117</v>
      </c>
      <c r="L30" s="401"/>
      <c r="M30" s="414" t="s">
        <v>122</v>
      </c>
      <c r="O30" s="177" t="s">
        <v>243</v>
      </c>
      <c r="P30" s="3"/>
      <c r="Q30" s="3"/>
      <c r="R30" s="401"/>
      <c r="S30" s="403">
        <v>701</v>
      </c>
      <c r="T30" s="12"/>
      <c r="U30" s="415" t="s">
        <v>122</v>
      </c>
    </row>
    <row r="31" spans="1:21" ht="12" customHeight="1">
      <c r="A31" s="414" t="s">
        <v>119</v>
      </c>
      <c r="B31" s="1248"/>
      <c r="C31" s="1079" t="s">
        <v>1087</v>
      </c>
      <c r="D31" s="400"/>
      <c r="F31" s="1361">
        <f>[1]!F420Personnel</f>
        <v>0</v>
      </c>
      <c r="G31" s="1535"/>
      <c r="H31" s="1535"/>
      <c r="I31" s="1362">
        <f>[1]!F420BudgFY</f>
        <v>0</v>
      </c>
      <c r="J31" s="1071"/>
      <c r="K31" s="415" t="s">
        <v>119</v>
      </c>
      <c r="L31" s="401"/>
      <c r="M31" s="414" t="s">
        <v>123</v>
      </c>
      <c r="N31" s="96"/>
      <c r="O31" s="177" t="s">
        <v>244</v>
      </c>
      <c r="P31" s="96"/>
      <c r="Q31" s="96"/>
      <c r="R31" s="96"/>
      <c r="S31" s="403">
        <f>[1]!F660BudgFY</f>
        <v>0</v>
      </c>
      <c r="T31" s="12"/>
      <c r="U31" s="415" t="s">
        <v>123</v>
      </c>
    </row>
    <row r="32" spans="1:21" ht="12" customHeight="1">
      <c r="A32" s="414" t="s">
        <v>120</v>
      </c>
      <c r="B32" s="1248"/>
      <c r="C32" s="423" t="s">
        <v>1088</v>
      </c>
      <c r="D32" s="400"/>
      <c r="F32" s="1361">
        <f>[1]!F425Personnel</f>
        <v>0</v>
      </c>
      <c r="G32" s="1535"/>
      <c r="H32" s="1535"/>
      <c r="I32" s="1362">
        <f>[1]!F425BudgFY</f>
        <v>0</v>
      </c>
      <c r="J32" s="1071"/>
      <c r="K32" s="415" t="s">
        <v>120</v>
      </c>
      <c r="L32" s="401"/>
      <c r="M32" s="414" t="s">
        <v>124</v>
      </c>
      <c r="N32" s="410"/>
      <c r="O32" s="177" t="s">
        <v>245</v>
      </c>
      <c r="P32" s="96"/>
      <c r="Q32" s="96"/>
      <c r="R32" s="96"/>
      <c r="S32" s="403">
        <f>[1]!F665BudgFY</f>
        <v>0</v>
      </c>
      <c r="T32" s="12"/>
      <c r="U32" s="415" t="s">
        <v>124</v>
      </c>
    </row>
    <row r="33" spans="1:21" ht="12" customHeight="1">
      <c r="A33" s="175" t="s">
        <v>122</v>
      </c>
      <c r="B33" s="1248"/>
      <c r="C33" s="1079" t="s">
        <v>1092</v>
      </c>
      <c r="D33" s="400"/>
      <c r="F33" s="1361">
        <f>[1]!F430Personnel</f>
        <v>0</v>
      </c>
      <c r="G33" s="1535"/>
      <c r="H33" s="1535"/>
      <c r="I33" s="1362">
        <f>[1]!F430BudgFY</f>
        <v>0</v>
      </c>
      <c r="J33" s="1071"/>
      <c r="K33" s="416" t="s">
        <v>122</v>
      </c>
      <c r="L33" s="1267"/>
      <c r="M33" s="407" t="s">
        <v>125</v>
      </c>
      <c r="N33" s="96"/>
      <c r="O33" s="177" t="s">
        <v>246</v>
      </c>
      <c r="R33" s="96"/>
      <c r="S33" s="403">
        <v>191</v>
      </c>
      <c r="T33" s="12">
        <v>0</v>
      </c>
      <c r="U33" s="416" t="s">
        <v>125</v>
      </c>
    </row>
    <row r="34" spans="1:21" ht="12" customHeight="1">
      <c r="A34" s="414" t="s">
        <v>123</v>
      </c>
      <c r="B34" s="1248"/>
      <c r="C34" s="1079" t="s">
        <v>1091</v>
      </c>
      <c r="D34" s="400"/>
      <c r="F34" s="1361">
        <f>[1]!F435Personnel</f>
        <v>0</v>
      </c>
      <c r="G34" s="1535"/>
      <c r="H34" s="1535"/>
      <c r="I34" s="1362">
        <f>[1]!F435BudgFY</f>
        <v>0</v>
      </c>
      <c r="J34" s="1071"/>
      <c r="K34" s="416" t="s">
        <v>123</v>
      </c>
      <c r="L34" s="401"/>
      <c r="M34" s="417" t="s">
        <v>126</v>
      </c>
      <c r="N34" s="96"/>
      <c r="O34" s="177" t="s">
        <v>247</v>
      </c>
      <c r="R34" s="96"/>
      <c r="S34" s="403">
        <v>23442</v>
      </c>
      <c r="T34" s="12">
        <v>500000</v>
      </c>
      <c r="U34" s="416" t="s">
        <v>126</v>
      </c>
    </row>
    <row r="35" spans="1:21" ht="12" customHeight="1">
      <c r="A35" s="414" t="s">
        <v>124</v>
      </c>
      <c r="B35" s="1248"/>
      <c r="C35" s="1079" t="s">
        <v>1090</v>
      </c>
      <c r="D35" s="400"/>
      <c r="F35" s="1361">
        <f>[1]!F450Personnel</f>
        <v>0</v>
      </c>
      <c r="G35" s="1535"/>
      <c r="H35" s="1535"/>
      <c r="I35" s="1362">
        <f>[1]!F450BudgFY</f>
        <v>0</v>
      </c>
      <c r="J35" s="1071"/>
      <c r="K35" s="416" t="s">
        <v>124</v>
      </c>
      <c r="L35" s="1267"/>
      <c r="M35" s="418" t="s">
        <v>248</v>
      </c>
      <c r="O35" s="177" t="s">
        <v>249</v>
      </c>
      <c r="R35" s="96"/>
      <c r="S35" s="403">
        <f>[1]!F700BudgFY</f>
        <v>5700</v>
      </c>
      <c r="T35" s="12">
        <v>0</v>
      </c>
      <c r="U35" s="416" t="s">
        <v>248</v>
      </c>
    </row>
    <row r="36" spans="1:21" ht="12" customHeight="1">
      <c r="A36" s="1255" t="s">
        <v>125</v>
      </c>
      <c r="B36" s="1248"/>
      <c r="C36" s="1249" t="s">
        <v>1093</v>
      </c>
      <c r="D36" s="1250"/>
      <c r="F36" s="1361">
        <f t="array" ref="F36">[1]!F456Personnel</f>
        <v>0</v>
      </c>
      <c r="G36" s="1535"/>
      <c r="H36" s="1535"/>
      <c r="I36" s="1362">
        <f t="array" ref="I36">[1]!F456BudgFY</f>
        <v>0</v>
      </c>
      <c r="J36" s="1071"/>
      <c r="K36" s="416" t="s">
        <v>125</v>
      </c>
      <c r="L36" s="401"/>
      <c r="M36" s="414" t="s">
        <v>250</v>
      </c>
      <c r="N36" s="410"/>
      <c r="O36" s="177" t="s">
        <v>251</v>
      </c>
      <c r="R36" s="96"/>
      <c r="S36" s="403">
        <f>[1]!F720BudgFY</f>
        <v>0</v>
      </c>
      <c r="T36" s="12"/>
      <c r="U36" s="415" t="s">
        <v>250</v>
      </c>
    </row>
    <row r="37" spans="1:21" ht="12" customHeight="1">
      <c r="A37" s="418" t="s">
        <v>126</v>
      </c>
      <c r="B37" s="1248"/>
      <c r="C37" s="1251" t="s">
        <v>252</v>
      </c>
      <c r="D37" s="1252"/>
      <c r="F37" s="1361">
        <f>[1]!F460Personnel</f>
        <v>0</v>
      </c>
      <c r="G37" s="1535"/>
      <c r="H37" s="1535"/>
      <c r="I37" s="1362">
        <f>[1]!F460BudgFY</f>
        <v>0</v>
      </c>
      <c r="J37" s="1071"/>
      <c r="K37" s="416" t="s">
        <v>126</v>
      </c>
      <c r="L37" s="401"/>
      <c r="M37" s="414" t="s">
        <v>253</v>
      </c>
      <c r="N37" s="410"/>
      <c r="O37" s="177" t="s">
        <v>254</v>
      </c>
      <c r="P37" s="1484"/>
      <c r="Q37" s="1484"/>
      <c r="R37" s="1485"/>
      <c r="S37" s="1505">
        <f>[1]!F850BudgFY</f>
        <v>0</v>
      </c>
      <c r="T37" s="1523"/>
      <c r="U37" s="421" t="s">
        <v>253</v>
      </c>
    </row>
    <row r="38" spans="1:21" ht="12" customHeight="1" thickBot="1">
      <c r="A38" s="1255" t="s">
        <v>248</v>
      </c>
      <c r="B38" s="1248"/>
      <c r="C38" s="1081" t="s">
        <v>1094</v>
      </c>
      <c r="D38" s="1250"/>
      <c r="E38" s="400"/>
      <c r="F38" s="1365">
        <f>[1]!F465499Personnel</f>
        <v>0</v>
      </c>
      <c r="G38" s="1561"/>
      <c r="H38" s="1562"/>
      <c r="I38" s="1366">
        <v>101760</v>
      </c>
      <c r="J38" s="11">
        <f>I38</f>
        <v>101760</v>
      </c>
      <c r="K38" s="416" t="s">
        <v>248</v>
      </c>
      <c r="L38" s="401"/>
      <c r="M38" s="417" t="s">
        <v>255</v>
      </c>
      <c r="N38" s="410"/>
      <c r="O38" s="177" t="s">
        <v>256</v>
      </c>
      <c r="P38" s="1484"/>
      <c r="Q38" s="1484"/>
      <c r="R38" s="1485"/>
      <c r="S38" s="1505">
        <v>0</v>
      </c>
      <c r="T38" s="1523">
        <v>0</v>
      </c>
      <c r="U38" s="421" t="s">
        <v>255</v>
      </c>
    </row>
    <row r="39" spans="1:21" ht="12" customHeight="1" thickBot="1">
      <c r="A39" s="418" t="s">
        <v>250</v>
      </c>
      <c r="B39" s="1252"/>
      <c r="C39" s="1081" t="s">
        <v>1095</v>
      </c>
      <c r="D39" s="199"/>
      <c r="F39" s="419">
        <f>SUM(F29:F38)</f>
        <v>0</v>
      </c>
      <c r="G39" s="1549">
        <f>SUM(G29:H38)</f>
        <v>0</v>
      </c>
      <c r="H39" s="1550"/>
      <c r="I39" s="412">
        <f>SUM(I29:I38)</f>
        <v>101760</v>
      </c>
      <c r="J39" s="412">
        <f>SUM(J29:J38)</f>
        <v>101760</v>
      </c>
      <c r="K39" s="416" t="s">
        <v>250</v>
      </c>
      <c r="L39" s="401"/>
      <c r="O39" s="116" t="s">
        <v>257</v>
      </c>
      <c r="P39" s="96"/>
      <c r="Q39" s="96"/>
      <c r="R39" s="96"/>
      <c r="S39" s="96"/>
      <c r="T39" s="96"/>
    </row>
    <row r="40" spans="1:21" ht="12" customHeight="1" thickTop="1" thickBot="1">
      <c r="A40" s="418" t="s">
        <v>253</v>
      </c>
      <c r="B40" s="1252"/>
      <c r="C40" s="1081" t="s">
        <v>1096</v>
      </c>
      <c r="D40" s="199"/>
      <c r="F40" s="419">
        <f>F27+F39</f>
        <v>0</v>
      </c>
      <c r="G40" s="1549">
        <f>G27+G39</f>
        <v>0</v>
      </c>
      <c r="H40" s="1550"/>
      <c r="I40" s="420">
        <f ca="1">I27+I39</f>
        <v>2230467</v>
      </c>
      <c r="J40" s="412">
        <f ca="1">J27+J39</f>
        <v>2230467</v>
      </c>
      <c r="K40" s="416" t="s">
        <v>253</v>
      </c>
      <c r="L40" s="96"/>
      <c r="M40" s="1267" t="s">
        <v>6</v>
      </c>
      <c r="O40" s="20" t="s">
        <v>258</v>
      </c>
      <c r="P40" s="96"/>
      <c r="Q40" s="96"/>
      <c r="R40" s="96"/>
      <c r="S40" s="403">
        <f>[1]!F9__SelfInsBudgFY</f>
        <v>0</v>
      </c>
      <c r="T40" s="12"/>
      <c r="U40" s="411" t="s">
        <v>6</v>
      </c>
    </row>
    <row r="41" spans="1:21" ht="12" customHeight="1" thickTop="1">
      <c r="K41" s="1252"/>
      <c r="L41" s="96"/>
      <c r="M41" s="406" t="s">
        <v>8</v>
      </c>
      <c r="O41" s="3" t="s">
        <v>259</v>
      </c>
      <c r="P41" s="96"/>
      <c r="Q41" s="96"/>
      <c r="R41" s="401"/>
      <c r="S41" s="403">
        <f>[1]!F955BudgFY</f>
        <v>0</v>
      </c>
      <c r="T41" s="13"/>
      <c r="U41" s="184" t="s">
        <v>8</v>
      </c>
    </row>
    <row r="42" spans="1:21" ht="12" customHeight="1">
      <c r="A42" s="1557" t="s">
        <v>1097</v>
      </c>
      <c r="B42" s="1558"/>
      <c r="C42" s="1558"/>
      <c r="D42" s="1558"/>
      <c r="E42" s="1558"/>
      <c r="I42" s="1065" t="s">
        <v>129</v>
      </c>
      <c r="J42" s="1279" t="s">
        <v>130</v>
      </c>
      <c r="K42" s="1252"/>
      <c r="L42" s="96"/>
      <c r="M42" s="120" t="s">
        <v>22</v>
      </c>
      <c r="O42" s="15" t="s">
        <v>260</v>
      </c>
      <c r="P42" s="96"/>
      <c r="Q42" s="96"/>
      <c r="R42" s="96"/>
      <c r="S42" s="403">
        <f>[1]!F9__OPEBBudgFY</f>
        <v>0</v>
      </c>
      <c r="T42" s="13"/>
      <c r="U42" s="322" t="s">
        <v>22</v>
      </c>
    </row>
    <row r="43" spans="1:21" ht="12" customHeight="1">
      <c r="A43" s="401" t="s">
        <v>6</v>
      </c>
      <c r="C43" s="3" t="s">
        <v>1098</v>
      </c>
      <c r="D43" s="290"/>
      <c r="I43" s="1504" cm="1">
        <f t="array" ref="I43">[1]!F020TeachCompIncrBudgFY</f>
        <v>65000</v>
      </c>
      <c r="J43" s="1070">
        <v>75000</v>
      </c>
      <c r="K43" s="1258" t="s">
        <v>6</v>
      </c>
      <c r="L43" s="96"/>
      <c r="M43" s="120" t="s">
        <v>40</v>
      </c>
      <c r="O43" s="20" t="s">
        <v>261</v>
      </c>
      <c r="P43" s="96"/>
      <c r="Q43" s="96"/>
      <c r="R43" s="96"/>
      <c r="S43" s="403">
        <f>[1]!F9__OtherBudgFY</f>
        <v>0</v>
      </c>
      <c r="T43" s="13"/>
      <c r="U43" s="322" t="s">
        <v>40</v>
      </c>
    </row>
    <row r="44" spans="1:21" ht="12" customHeight="1">
      <c r="A44" s="401" t="s">
        <v>8</v>
      </c>
      <c r="B44" s="96"/>
      <c r="C44" s="96" t="s">
        <v>1099</v>
      </c>
      <c r="D44" s="96"/>
      <c r="E44" s="401"/>
      <c r="I44" s="1504" cm="1">
        <f t="array" ref="I44">[1]!F020ClassSizeRedBudgFY</f>
        <v>0</v>
      </c>
      <c r="J44" s="1071"/>
      <c r="K44" s="415" t="s">
        <v>8</v>
      </c>
      <c r="L44" s="96"/>
      <c r="N44" s="410"/>
      <c r="O44" s="96"/>
      <c r="P44" s="96"/>
      <c r="Q44" s="96"/>
      <c r="R44" s="96"/>
      <c r="U44" s="177"/>
    </row>
    <row r="45" spans="1:21" ht="12.75" customHeight="1">
      <c r="A45" s="401" t="s">
        <v>22</v>
      </c>
      <c r="B45" s="96"/>
      <c r="C45" s="96" t="s">
        <v>1100</v>
      </c>
      <c r="D45" s="96"/>
      <c r="E45" s="401"/>
      <c r="I45" s="1504" cm="1">
        <f t="array" ref="I45">[1]!F020DropPrevProgBudgFY</f>
        <v>0</v>
      </c>
      <c r="J45" s="1071"/>
      <c r="K45" s="415" t="s">
        <v>22</v>
      </c>
      <c r="L45" s="96"/>
      <c r="N45" s="1267"/>
      <c r="S45" s="424"/>
      <c r="T45" s="96"/>
    </row>
    <row r="46" spans="1:21" ht="12.75" customHeight="1">
      <c r="A46" s="401" t="s">
        <v>40</v>
      </c>
      <c r="B46" s="96"/>
      <c r="C46" s="96" t="s">
        <v>1101</v>
      </c>
      <c r="D46" s="96"/>
      <c r="E46" s="401"/>
      <c r="I46" s="329" cm="1">
        <f t="array" ref="I46">[1]!F020InstrImprProgBudgFY</f>
        <v>70000</v>
      </c>
      <c r="J46" s="1071">
        <v>100000</v>
      </c>
      <c r="K46" s="415" t="s">
        <v>40</v>
      </c>
      <c r="M46" s="175" t="s">
        <v>262</v>
      </c>
      <c r="N46" s="96" t="s">
        <v>1020</v>
      </c>
    </row>
    <row r="47" spans="1:21" ht="12.75" customHeight="1" thickBot="1">
      <c r="A47" s="401" t="s">
        <v>98</v>
      </c>
      <c r="B47" s="96"/>
      <c r="C47" s="96" t="s">
        <v>263</v>
      </c>
      <c r="D47" s="96"/>
      <c r="E47" s="401"/>
      <c r="I47" s="1069">
        <f>SUM(I43:I46)</f>
        <v>135000</v>
      </c>
      <c r="J47" s="1069">
        <f>SUM(J43:J46)</f>
        <v>175000</v>
      </c>
      <c r="K47" s="415" t="s">
        <v>98</v>
      </c>
      <c r="M47" s="175" t="s">
        <v>264</v>
      </c>
      <c r="N47" s="96" t="s">
        <v>265</v>
      </c>
      <c r="S47" s="1441"/>
    </row>
    <row r="48" spans="1:21" ht="12.75" customHeight="1" thickTop="1">
      <c r="A48" s="1267"/>
      <c r="B48" s="1267"/>
      <c r="E48" s="401"/>
      <c r="I48" s="1066"/>
      <c r="J48" s="1068"/>
      <c r="K48" s="1252"/>
      <c r="M48" s="175"/>
      <c r="N48" s="96"/>
    </row>
    <row r="49" spans="1:28">
      <c r="A49" s="425"/>
      <c r="B49" s="1267"/>
      <c r="E49" s="401"/>
      <c r="I49" s="1067"/>
      <c r="J49" s="1067"/>
    </row>
    <row r="50" spans="1:28">
      <c r="E50" s="1559"/>
      <c r="F50" s="1559"/>
      <c r="G50" s="1560"/>
      <c r="H50" s="1560"/>
    </row>
    <row r="51" spans="1:28">
      <c r="E51" s="1555"/>
      <c r="F51" s="1555"/>
      <c r="G51" s="1555"/>
      <c r="H51" s="1555"/>
      <c r="AB51" s="422"/>
    </row>
    <row r="52" spans="1:28">
      <c r="E52" s="1555"/>
      <c r="F52" s="1555"/>
      <c r="G52" s="1556"/>
      <c r="H52" s="1556"/>
      <c r="AB52" s="422"/>
    </row>
    <row r="53" spans="1:28">
      <c r="E53" s="1555"/>
      <c r="F53" s="1555"/>
      <c r="G53" s="1556"/>
      <c r="H53" s="1556"/>
      <c r="AB53" s="422"/>
    </row>
    <row r="54" spans="1:28">
      <c r="E54" s="1555"/>
      <c r="F54" s="1555"/>
      <c r="G54" s="1556"/>
      <c r="H54" s="1556"/>
      <c r="AB54" s="422"/>
    </row>
    <row r="55" spans="1:28">
      <c r="E55" s="1555"/>
      <c r="F55" s="1555"/>
      <c r="G55" s="1556"/>
      <c r="H55" s="1556"/>
      <c r="AB55" s="422"/>
    </row>
    <row r="56" spans="1:28">
      <c r="E56" s="400"/>
      <c r="AB56" s="422"/>
    </row>
    <row r="57" spans="1:28">
      <c r="T57" s="96"/>
      <c r="W57" s="401"/>
    </row>
  </sheetData>
  <sheetProtection formatCells="0" formatColumns="0" formatRows="0"/>
  <mergeCells count="53">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B4:D4"/>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600-000000000000}"/>
    <hyperlink ref="M41" location="Page6l2" display="2." xr:uid="{00000000-0004-0000-0600-000001000000}"/>
    <hyperlink ref="M6" location="Page6l2and3" display="2." xr:uid="{00000000-0004-0000-0600-000002000000}"/>
    <hyperlink ref="M7" location="Page6l2and3" display="3." xr:uid="{00000000-0004-0000-0600-000003000000}"/>
    <hyperlink ref="M8" location="Page6l4" display="'4." xr:uid="{00000000-0004-0000-0600-000004000000}"/>
    <hyperlink ref="M38" location="Page6l34" display="'34." xr:uid="{00000000-0004-0000-0600-000005000000}"/>
    <hyperlink ref="M28" location="Page6l24" display="'24." xr:uid="{00000000-0004-0000-0600-000006000000}"/>
    <hyperlink ref="A24" location="Page6l16" display="'18." xr:uid="{00000000-0004-0000-0600-000007000000}"/>
    <hyperlink ref="M33" location="Page6l29" display="'29." xr:uid="{00000000-0004-0000-0600-000008000000}"/>
    <hyperlink ref="M34" location="Page6l30" display="'30." xr:uid="{00000000-0004-0000-0600-000009000000}"/>
    <hyperlink ref="A38" location="Page6l31" display="'31." xr:uid="{00000000-0004-0000-0600-00000A000000}"/>
    <hyperlink ref="A25" location="Page6l17" display="'19." xr:uid="{00000000-0004-0000-0600-00000B000000}"/>
    <hyperlink ref="B4" location="Page6l16" display="'Instructions" xr:uid="{00000000-0004-0000-0600-00000C000000}"/>
    <hyperlink ref="A36" location="Page6F456" display="'29." xr:uid="{00000000-0004-0000-0600-00000D000000}"/>
  </hyperlinks>
  <printOptions horizontalCentered="1"/>
  <pageMargins left="0.25" right="0.25" top="0.25" bottom="0.25" header="0" footer="0.15"/>
  <pageSetup paperSize="5" scale="94" orientation="landscape" r:id="rId1"/>
  <headerFooter alignWithMargins="0">
    <oddFooter>&amp;L&amp;"Times New Roman,Bold"&amp;9Rev. 5/26&amp;K000000 Arizona Department of Education and Auditor General&amp;C&amp;"Times New Roman,Regular"&amp;9&amp;D  &amp;T</oddFooter>
  </headerFooter>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AB72"/>
  <sheetViews>
    <sheetView showGridLines="0" topLeftCell="A38" zoomScaleSheetLayoutView="115" workbookViewId="0">
      <selection activeCell="J12" sqref="J12"/>
    </sheetView>
  </sheetViews>
  <sheetFormatPr defaultColWidth="8" defaultRowHeight="11.4"/>
  <cols>
    <col min="1" max="2" width="2.81640625" style="303" customWidth="1"/>
    <col min="3" max="3" width="6" style="303" customWidth="1"/>
    <col min="4" max="4" width="15.81640625" style="303" customWidth="1"/>
    <col min="5" max="5" width="2.81640625" style="303" customWidth="1"/>
    <col min="6" max="6" width="8.81640625" style="303" customWidth="1"/>
    <col min="7" max="7" width="3.81640625" style="303" customWidth="1"/>
    <col min="8" max="8" width="12.81640625" style="303" customWidth="1"/>
    <col min="9" max="9" width="6.54296875" style="303" customWidth="1"/>
    <col min="10" max="10" width="11.453125" style="303" customWidth="1"/>
    <col min="11" max="11" width="3.81640625" style="303" customWidth="1"/>
    <col min="12" max="12" width="2.453125" style="303" customWidth="1"/>
    <col min="13" max="13" width="11.453125" style="303" customWidth="1"/>
    <col min="14" max="14" width="8" style="303" customWidth="1"/>
    <col min="15" max="15" width="1.81640625" style="303" customWidth="1"/>
    <col min="16" max="16" width="4.81640625" style="303" customWidth="1"/>
    <col min="17" max="17" width="18" style="303" customWidth="1"/>
    <col min="18" max="18" width="10.81640625" style="303" customWidth="1"/>
    <col min="19" max="19" width="8" style="303" customWidth="1"/>
    <col min="20" max="20" width="2.6328125" style="303" customWidth="1"/>
    <col min="21" max="21" width="8" style="303" customWidth="1"/>
    <col min="22" max="22" width="1.54296875" style="303" customWidth="1"/>
    <col min="23" max="23" width="1.453125" style="303" customWidth="1"/>
    <col min="24" max="29" width="8" style="303" customWidth="1"/>
    <col min="30" max="16384" width="8" style="303"/>
  </cols>
  <sheetData>
    <row r="1" spans="1:19" ht="15">
      <c r="A1" s="426"/>
      <c r="B1" s="445"/>
      <c r="C1" s="1309" t="s">
        <v>140</v>
      </c>
      <c r="D1" s="1660" t="str">
        <f>DistrictName</f>
        <v>Stanfield Elementary School District</v>
      </c>
      <c r="E1" s="1537"/>
      <c r="F1" s="1129" t="s">
        <v>1</v>
      </c>
      <c r="G1" s="1660" t="str">
        <f>Cover!H1</f>
        <v>Pinal</v>
      </c>
      <c r="H1" s="1537"/>
      <c r="I1" s="1537"/>
      <c r="J1" s="443"/>
      <c r="K1" s="1130"/>
      <c r="L1" s="1131" t="s">
        <v>57</v>
      </c>
      <c r="M1" s="429" t="str">
        <f>Cover!S1</f>
        <v>110424000</v>
      </c>
    </row>
    <row r="2" spans="1:19" ht="15" customHeight="1">
      <c r="A2" s="430"/>
      <c r="B2" s="1285"/>
      <c r="C2" s="1285"/>
      <c r="D2" s="1285"/>
      <c r="E2" s="1285"/>
      <c r="F2" s="1285"/>
      <c r="G2" s="1285"/>
      <c r="H2" s="1285"/>
      <c r="I2" s="1285"/>
      <c r="J2" s="1285"/>
      <c r="K2" s="96"/>
      <c r="L2" s="1131" t="s">
        <v>16</v>
      </c>
      <c r="M2" s="431" t="str">
        <f>Cover!C8</f>
        <v>Proposed</v>
      </c>
    </row>
    <row r="3" spans="1:19" ht="12" customHeight="1">
      <c r="A3" s="1662" t="s">
        <v>1356</v>
      </c>
      <c r="B3" s="1663"/>
      <c r="C3" s="1663"/>
      <c r="D3" s="1663"/>
      <c r="E3" s="1663"/>
      <c r="F3" s="1663"/>
      <c r="G3" s="1663"/>
      <c r="H3" s="1663"/>
      <c r="I3" s="1663"/>
      <c r="J3" s="1663"/>
      <c r="K3" s="1663"/>
      <c r="L3" s="1663"/>
      <c r="M3" s="1663"/>
    </row>
    <row r="4" spans="1:19" ht="12" customHeight="1">
      <c r="A4" s="432" t="s">
        <v>266</v>
      </c>
      <c r="B4" s="433"/>
      <c r="C4" s="433"/>
      <c r="D4" s="433"/>
      <c r="E4" s="433"/>
      <c r="F4" s="434"/>
      <c r="G4" s="434"/>
      <c r="H4" s="434"/>
      <c r="I4" s="434"/>
      <c r="J4" s="434"/>
      <c r="K4" s="433"/>
      <c r="L4" s="433"/>
      <c r="M4" s="435"/>
    </row>
    <row r="5" spans="1:19" ht="3" customHeight="1">
      <c r="A5" s="432"/>
      <c r="B5" s="433"/>
      <c r="C5" s="433"/>
      <c r="D5" s="433"/>
      <c r="E5" s="433"/>
      <c r="F5" s="433"/>
      <c r="G5" s="433"/>
      <c r="H5" s="433"/>
      <c r="I5" s="433"/>
      <c r="J5" s="433"/>
      <c r="K5" s="433"/>
      <c r="L5" s="433"/>
      <c r="M5" s="435"/>
    </row>
    <row r="6" spans="1:19" ht="9.75" customHeight="1">
      <c r="A6" s="436"/>
      <c r="B6" s="1669" t="s">
        <v>692</v>
      </c>
      <c r="C6" s="1669"/>
      <c r="D6" s="1669"/>
      <c r="E6" s="1285"/>
      <c r="F6" s="1285"/>
      <c r="G6" s="1285"/>
      <c r="H6" s="1285"/>
      <c r="I6" s="1285"/>
      <c r="J6" s="437" t="s">
        <v>267</v>
      </c>
      <c r="K6" s="433"/>
      <c r="L6" s="433"/>
      <c r="M6" s="438" t="s">
        <v>268</v>
      </c>
    </row>
    <row r="7" spans="1:19" ht="10.5" customHeight="1">
      <c r="A7" s="439" t="s">
        <v>42</v>
      </c>
      <c r="B7" s="1669"/>
      <c r="C7" s="1669"/>
      <c r="D7" s="1669"/>
      <c r="E7" s="433"/>
      <c r="F7" s="433"/>
      <c r="G7" s="433"/>
      <c r="H7" s="433"/>
      <c r="I7" s="433"/>
      <c r="J7" s="437" t="s">
        <v>269</v>
      </c>
      <c r="K7" s="440"/>
      <c r="L7" s="1285"/>
      <c r="M7" s="438" t="s">
        <v>270</v>
      </c>
    </row>
    <row r="8" spans="1:19" ht="10.5" customHeight="1">
      <c r="A8" s="439"/>
      <c r="B8" s="433"/>
      <c r="C8" s="433"/>
      <c r="D8" s="433"/>
      <c r="E8" s="433"/>
      <c r="F8" s="433"/>
      <c r="G8" s="433"/>
      <c r="H8" s="433"/>
      <c r="I8" s="433"/>
      <c r="J8" s="441" t="s">
        <v>271</v>
      </c>
      <c r="K8" s="440"/>
      <c r="L8" s="1285"/>
      <c r="M8" s="442" t="s">
        <v>272</v>
      </c>
    </row>
    <row r="9" spans="1:19" ht="11.25" customHeight="1">
      <c r="A9" s="180" t="s">
        <v>273</v>
      </c>
      <c r="B9" s="1167" t="s">
        <v>1355</v>
      </c>
      <c r="C9" s="443"/>
      <c r="D9" s="434"/>
      <c r="E9" s="434"/>
      <c r="F9" s="434"/>
      <c r="G9" s="433"/>
      <c r="H9" s="1285"/>
      <c r="I9" s="433"/>
      <c r="J9" s="427"/>
      <c r="K9" s="440"/>
      <c r="L9" s="1285"/>
      <c r="M9" s="295"/>
      <c r="N9" s="1676" t="str">
        <f>IF((H10-J10)&gt;=0,"","The RCL amount allocated to the M&amp;O Fund exceeds the calculated RCL amount.")</f>
        <v/>
      </c>
      <c r="O9" s="1676"/>
      <c r="P9" s="1676"/>
      <c r="Q9" s="1676"/>
      <c r="R9" s="1676"/>
      <c r="S9" s="1676"/>
    </row>
    <row r="10" spans="1:19" ht="12.75" customHeight="1">
      <c r="A10" s="295"/>
      <c r="B10" s="444" t="s">
        <v>961</v>
      </c>
      <c r="C10" s="443"/>
      <c r="D10" s="445"/>
      <c r="E10" s="445"/>
      <c r="F10" s="445"/>
      <c r="G10" s="446" t="s">
        <v>274</v>
      </c>
      <c r="H10" s="127">
        <f>RCL</f>
        <v>3685973</v>
      </c>
      <c r="I10" s="447" t="s">
        <v>274</v>
      </c>
      <c r="J10" s="7">
        <f>3585973+50000</f>
        <v>3635973</v>
      </c>
      <c r="K10" s="449"/>
      <c r="L10" s="447" t="s">
        <v>274</v>
      </c>
      <c r="M10" s="450">
        <f>IF((H10-J10)&lt;0,"Error",H10-J10)</f>
        <v>50000</v>
      </c>
      <c r="N10" s="1676"/>
      <c r="O10" s="1676"/>
      <c r="P10" s="1676"/>
      <c r="Q10" s="1676"/>
      <c r="R10" s="1676"/>
      <c r="S10" s="1676"/>
    </row>
    <row r="11" spans="1:19" ht="12" hidden="1">
      <c r="A11" s="451"/>
      <c r="B11" s="452"/>
      <c r="C11" s="453"/>
      <c r="D11" s="1285"/>
      <c r="E11" s="1285"/>
      <c r="F11" s="1285"/>
      <c r="G11" s="447"/>
      <c r="H11" s="454"/>
      <c r="I11" s="449"/>
      <c r="J11" s="449"/>
      <c r="K11" s="449"/>
      <c r="L11" s="1285"/>
      <c r="M11" s="449"/>
    </row>
    <row r="12" spans="1:19" ht="3" customHeight="1">
      <c r="A12" s="455"/>
      <c r="B12" s="452"/>
      <c r="C12" s="1667"/>
      <c r="D12" s="1667"/>
      <c r="E12" s="1667"/>
      <c r="F12" s="1667"/>
      <c r="G12" s="447"/>
      <c r="H12" s="1269"/>
      <c r="I12" s="449"/>
      <c r="J12" s="449"/>
      <c r="K12" s="449"/>
      <c r="L12" s="1285"/>
      <c r="M12" s="449"/>
    </row>
    <row r="13" spans="1:19" ht="13.5" hidden="1" customHeight="1">
      <c r="A13" s="456"/>
      <c r="B13" s="457"/>
      <c r="C13" s="453"/>
      <c r="D13" s="295"/>
      <c r="E13" s="1285"/>
      <c r="F13" s="1285"/>
      <c r="G13" s="447"/>
      <c r="H13" s="445"/>
    </row>
    <row r="14" spans="1:19" ht="25.5" customHeight="1">
      <c r="A14" s="458" t="s">
        <v>275</v>
      </c>
      <c r="B14" s="459" t="s">
        <v>276</v>
      </c>
      <c r="C14" s="1668" t="s">
        <v>1357</v>
      </c>
      <c r="D14" s="1668"/>
      <c r="E14" s="1668"/>
      <c r="F14" s="1668"/>
      <c r="G14" s="446" t="s">
        <v>274</v>
      </c>
      <c r="H14" s="448">
        <f>PreAdjDAA</f>
        <v>205494</v>
      </c>
      <c r="I14" s="447"/>
      <c r="J14" s="1269"/>
      <c r="K14" s="449"/>
      <c r="L14" s="1285"/>
      <c r="M14" s="1269"/>
    </row>
    <row r="15" spans="1:19" ht="12.75" customHeight="1">
      <c r="A15" s="455"/>
      <c r="B15" s="459" t="s">
        <v>277</v>
      </c>
      <c r="C15" s="1666" t="s">
        <v>1021</v>
      </c>
      <c r="D15" s="1666"/>
      <c r="E15" s="1666"/>
      <c r="F15" s="1666"/>
      <c r="G15" s="446" t="s">
        <v>274</v>
      </c>
      <c r="H15" s="448">
        <f>TotalDAAAdj</f>
        <v>0</v>
      </c>
      <c r="I15" s="447"/>
      <c r="J15" s="1269"/>
      <c r="K15" s="449"/>
      <c r="L15" s="1285"/>
      <c r="M15" s="1269"/>
      <c r="N15" s="1676" t="str">
        <f>IF((H17-J17)&gt;=0,"","The DAA amount allocated to the M&amp;O Fund exceeds the calculated DAA amount.")</f>
        <v/>
      </c>
      <c r="O15" s="1676"/>
      <c r="P15" s="1676"/>
      <c r="Q15" s="1676"/>
      <c r="R15" s="1676"/>
      <c r="S15" s="1676"/>
    </row>
    <row r="16" spans="1:19" ht="27" hidden="1" customHeight="1">
      <c r="A16" s="455"/>
      <c r="B16" s="460"/>
      <c r="C16" s="1668"/>
      <c r="D16" s="1668"/>
      <c r="E16" s="1668"/>
      <c r="F16" s="1668"/>
      <c r="G16" s="447"/>
      <c r="H16" s="461"/>
      <c r="I16" s="447"/>
      <c r="J16" s="1269"/>
      <c r="K16" s="449"/>
      <c r="L16" s="1285"/>
      <c r="M16" s="1269"/>
      <c r="N16" s="1676"/>
      <c r="O16" s="1676"/>
      <c r="P16" s="1676"/>
      <c r="Q16" s="1676"/>
      <c r="R16" s="1676"/>
      <c r="S16" s="1676"/>
    </row>
    <row r="17" spans="1:28" ht="12.75" customHeight="1">
      <c r="A17" s="451"/>
      <c r="B17" s="462" t="s">
        <v>278</v>
      </c>
      <c r="C17" s="199" t="s">
        <v>279</v>
      </c>
      <c r="D17" s="445"/>
      <c r="E17" s="1285"/>
      <c r="F17" s="1285"/>
      <c r="G17" s="447" t="s">
        <v>274</v>
      </c>
      <c r="H17" s="463">
        <f>H14+H15</f>
        <v>205494</v>
      </c>
      <c r="I17" s="447"/>
      <c r="J17" s="90"/>
      <c r="K17" s="449"/>
      <c r="L17" s="1285"/>
      <c r="M17" s="464">
        <f>IF((H17-J17)&lt;0,"Error",H17-J17)</f>
        <v>205494</v>
      </c>
      <c r="N17" s="1676"/>
      <c r="O17" s="1676"/>
      <c r="P17" s="1676"/>
      <c r="Q17" s="1676"/>
      <c r="R17" s="1676"/>
      <c r="S17" s="1676"/>
    </row>
    <row r="18" spans="1:28" ht="45.75" customHeight="1">
      <c r="A18" s="465" t="s">
        <v>280</v>
      </c>
      <c r="B18" s="1677" t="s">
        <v>1358</v>
      </c>
      <c r="C18" s="1677"/>
      <c r="D18" s="1677"/>
      <c r="E18" s="1677"/>
      <c r="F18" s="1677"/>
      <c r="G18" s="1677"/>
      <c r="H18" s="1677"/>
      <c r="I18" s="1677"/>
      <c r="J18" s="454"/>
      <c r="K18" s="449"/>
      <c r="L18" s="1285"/>
      <c r="M18" s="449"/>
      <c r="N18" s="443"/>
      <c r="AA18" s="1172" t="s">
        <v>281</v>
      </c>
      <c r="AB18" s="443"/>
    </row>
    <row r="19" spans="1:28" ht="12">
      <c r="A19" s="447"/>
      <c r="B19" s="466" t="s">
        <v>276</v>
      </c>
      <c r="C19" s="445" t="s">
        <v>282</v>
      </c>
      <c r="D19" s="445"/>
      <c r="E19" s="1285"/>
      <c r="F19" s="1285"/>
      <c r="G19" s="1285"/>
      <c r="H19" s="1285"/>
      <c r="I19" s="447" t="s">
        <v>42</v>
      </c>
      <c r="J19" s="92">
        <f>+H10*0.1</f>
        <v>368597</v>
      </c>
      <c r="K19" s="449"/>
      <c r="L19" s="1285"/>
      <c r="M19" s="449"/>
    </row>
    <row r="20" spans="1:28" ht="12" customHeight="1">
      <c r="A20" s="455"/>
      <c r="B20" s="466" t="s">
        <v>277</v>
      </c>
      <c r="C20" s="445" t="s">
        <v>180</v>
      </c>
      <c r="D20" s="445"/>
      <c r="E20" s="1285"/>
      <c r="F20" s="1285"/>
      <c r="G20" s="1285"/>
      <c r="H20" s="1285"/>
      <c r="I20" s="447"/>
      <c r="J20" s="467"/>
      <c r="K20" s="449"/>
      <c r="L20" s="1285"/>
      <c r="M20" s="92"/>
    </row>
    <row r="21" spans="1:28" ht="12" customHeight="1">
      <c r="A21" s="447"/>
      <c r="B21" s="105" t="s">
        <v>278</v>
      </c>
      <c r="C21" s="445" t="s">
        <v>283</v>
      </c>
      <c r="D21" s="445"/>
      <c r="E21" s="1285"/>
      <c r="F21" s="1285"/>
      <c r="G21" s="1285"/>
      <c r="H21" s="1285"/>
      <c r="I21" s="447" t="s">
        <v>42</v>
      </c>
      <c r="J21" s="92"/>
      <c r="K21" s="449"/>
      <c r="L21" s="453"/>
      <c r="M21" s="8"/>
    </row>
    <row r="22" spans="1:28" ht="12" customHeight="1">
      <c r="A22" s="468" t="s">
        <v>284</v>
      </c>
      <c r="B22" s="1664" t="s">
        <v>1102</v>
      </c>
      <c r="C22" s="1665"/>
      <c r="D22" s="1665"/>
      <c r="E22" s="1665"/>
      <c r="F22" s="1665"/>
      <c r="G22" s="1665"/>
      <c r="H22" s="1665"/>
      <c r="I22" s="1661"/>
      <c r="J22" s="454"/>
      <c r="K22" s="449"/>
      <c r="L22" s="1285"/>
      <c r="M22" s="467"/>
      <c r="O22" s="1680"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80"/>
      <c r="Q22" s="1680"/>
      <c r="R22" s="1680"/>
      <c r="S22" s="1680"/>
      <c r="T22" s="1680"/>
      <c r="U22" s="1680"/>
    </row>
    <row r="23" spans="1:28" ht="24" customHeight="1">
      <c r="A23" s="456"/>
      <c r="B23" s="1665"/>
      <c r="C23" s="1665"/>
      <c r="D23" s="1665"/>
      <c r="E23" s="1665"/>
      <c r="F23" s="1665"/>
      <c r="G23" s="1665"/>
      <c r="H23" s="1665"/>
      <c r="I23" s="1661"/>
      <c r="J23" s="7"/>
      <c r="K23" s="449"/>
      <c r="L23" s="1285"/>
      <c r="M23" s="8"/>
      <c r="O23" s="1680"/>
      <c r="P23" s="1680"/>
      <c r="Q23" s="1680"/>
      <c r="R23" s="1680"/>
      <c r="S23" s="1680"/>
      <c r="T23" s="1680"/>
      <c r="U23" s="1680"/>
    </row>
    <row r="24" spans="1:28" s="471" customFormat="1" ht="12" customHeight="1">
      <c r="A24" s="465" t="s">
        <v>285</v>
      </c>
      <c r="B24" s="1282" t="s">
        <v>1022</v>
      </c>
      <c r="C24" s="478"/>
      <c r="D24" s="469"/>
      <c r="E24" s="469"/>
      <c r="F24" s="469"/>
      <c r="G24" s="469"/>
      <c r="H24" s="469"/>
      <c r="I24" s="469"/>
      <c r="J24" s="469"/>
      <c r="K24" s="470"/>
      <c r="L24" s="469"/>
      <c r="M24" s="470"/>
    </row>
    <row r="25" spans="1:28" ht="13.5" customHeight="1">
      <c r="A25" s="472"/>
      <c r="B25" s="473" t="s">
        <v>286</v>
      </c>
      <c r="C25" s="445"/>
      <c r="D25" s="445"/>
      <c r="E25" s="445"/>
      <c r="F25" s="445"/>
      <c r="G25" s="445"/>
      <c r="H25" s="1285"/>
      <c r="I25" s="1285"/>
      <c r="J25" s="1285"/>
      <c r="K25" s="449"/>
      <c r="L25" s="1285"/>
      <c r="M25" s="449"/>
    </row>
    <row r="26" spans="1:28" ht="12">
      <c r="A26" s="472"/>
      <c r="B26" s="1285" t="s">
        <v>276</v>
      </c>
      <c r="C26" s="445" t="s">
        <v>1023</v>
      </c>
      <c r="D26" s="445"/>
      <c r="E26" s="1285"/>
      <c r="F26" s="1285"/>
      <c r="G26" s="1285"/>
      <c r="H26" s="1285"/>
      <c r="I26" s="447" t="s">
        <v>42</v>
      </c>
      <c r="J26" s="92"/>
      <c r="K26" s="449"/>
      <c r="L26" s="1285"/>
      <c r="M26" s="92"/>
    </row>
    <row r="27" spans="1:28" ht="12" customHeight="1">
      <c r="A27" s="472"/>
      <c r="B27" s="1285" t="s">
        <v>277</v>
      </c>
      <c r="C27" s="445" t="s">
        <v>1103</v>
      </c>
      <c r="D27" s="1285"/>
      <c r="E27" s="1285"/>
      <c r="F27" s="1285"/>
      <c r="G27" s="1285"/>
      <c r="H27" s="1285"/>
      <c r="I27" s="447" t="s">
        <v>42</v>
      </c>
      <c r="J27" s="7"/>
      <c r="K27" s="449"/>
      <c r="L27" s="1285"/>
      <c r="M27" s="8"/>
    </row>
    <row r="28" spans="1:28" ht="12" customHeight="1">
      <c r="A28" s="472"/>
      <c r="B28" s="1285" t="s">
        <v>278</v>
      </c>
      <c r="C28" s="445" t="s">
        <v>1104</v>
      </c>
      <c r="D28" s="445"/>
      <c r="E28" s="445"/>
      <c r="F28" s="1285"/>
      <c r="G28" s="1285"/>
      <c r="H28" s="1285"/>
      <c r="I28" s="447" t="s">
        <v>42</v>
      </c>
      <c r="J28" s="7"/>
      <c r="K28" s="449"/>
      <c r="L28" s="1285"/>
      <c r="M28" s="8"/>
    </row>
    <row r="29" spans="1:28" ht="12" customHeight="1">
      <c r="A29" s="472"/>
      <c r="B29" s="466" t="s">
        <v>287</v>
      </c>
      <c r="C29" s="453" t="s">
        <v>288</v>
      </c>
      <c r="D29" s="1285"/>
      <c r="E29" s="1285"/>
      <c r="F29" s="1285"/>
      <c r="G29" s="1285"/>
      <c r="H29" s="1285"/>
      <c r="I29" s="447" t="s">
        <v>42</v>
      </c>
      <c r="J29" s="92"/>
      <c r="K29" s="449"/>
      <c r="L29" s="1285"/>
      <c r="M29" s="92"/>
    </row>
    <row r="30" spans="1:28" ht="14.25" customHeight="1">
      <c r="A30" s="468" t="s">
        <v>289</v>
      </c>
      <c r="B30" s="445" t="s">
        <v>1105</v>
      </c>
      <c r="C30" s="445"/>
      <c r="D30" s="445"/>
      <c r="E30" s="445"/>
      <c r="F30" s="445"/>
      <c r="G30" s="445"/>
      <c r="H30" s="445"/>
      <c r="I30" s="445"/>
      <c r="J30" s="7"/>
      <c r="K30" s="449"/>
      <c r="L30" s="1285"/>
      <c r="M30" s="8"/>
    </row>
    <row r="31" spans="1:28" ht="14.25" customHeight="1">
      <c r="A31" s="468" t="s">
        <v>290</v>
      </c>
      <c r="B31" s="474" t="s">
        <v>1108</v>
      </c>
      <c r="C31" s="445"/>
      <c r="D31" s="445"/>
      <c r="E31" s="445"/>
      <c r="F31" s="445"/>
      <c r="G31" s="445"/>
      <c r="H31" s="445"/>
      <c r="I31" s="1285"/>
      <c r="J31" s="454"/>
      <c r="K31" s="449"/>
      <c r="L31" s="1285"/>
      <c r="M31" s="483"/>
    </row>
    <row r="32" spans="1:28" ht="24" customHeight="1">
      <c r="A32" s="472"/>
      <c r="B32" s="1672" t="s">
        <v>1106</v>
      </c>
      <c r="C32" s="1672"/>
      <c r="D32" s="1672"/>
      <c r="E32" s="1672"/>
      <c r="F32" s="1672"/>
      <c r="G32" s="1672"/>
      <c r="H32" s="1672"/>
      <c r="I32" s="447"/>
      <c r="J32" s="92"/>
      <c r="K32" s="449"/>
      <c r="L32" s="1285"/>
      <c r="M32" s="1269"/>
    </row>
    <row r="33" spans="1:23" ht="12" customHeight="1">
      <c r="A33" s="120" t="s">
        <v>102</v>
      </c>
      <c r="B33" s="445" t="s">
        <v>1107</v>
      </c>
      <c r="C33" s="1285"/>
      <c r="D33" s="445"/>
      <c r="E33" s="1285"/>
      <c r="F33" s="1285"/>
      <c r="G33" s="1285"/>
      <c r="H33" s="1285"/>
      <c r="I33" s="1285"/>
      <c r="J33" s="454"/>
      <c r="K33" s="449"/>
      <c r="L33" s="1285"/>
      <c r="M33" s="449"/>
      <c r="O33" s="475"/>
      <c r="P33" s="443"/>
      <c r="Q33" s="443"/>
      <c r="R33" s="443"/>
      <c r="S33" s="443"/>
      <c r="T33" s="443"/>
      <c r="U33" s="443"/>
      <c r="V33" s="443"/>
    </row>
    <row r="34" spans="1:23" ht="13.5" customHeight="1">
      <c r="A34" s="472"/>
      <c r="B34" s="466" t="s">
        <v>276</v>
      </c>
      <c r="C34" s="1671" t="s">
        <v>1024</v>
      </c>
      <c r="D34" s="1671"/>
      <c r="E34" s="1671"/>
      <c r="F34" s="1671"/>
      <c r="G34" s="1671"/>
      <c r="H34" s="1671"/>
      <c r="I34" s="1671"/>
      <c r="J34" s="92"/>
      <c r="K34" s="449"/>
      <c r="L34" s="1285"/>
      <c r="M34" s="92"/>
      <c r="O34" s="1294"/>
      <c r="P34" s="1295"/>
      <c r="Q34" s="1295"/>
      <c r="R34" s="1295"/>
      <c r="S34" s="1295"/>
      <c r="T34" s="1295"/>
      <c r="U34" s="1293"/>
      <c r="V34" s="1293"/>
      <c r="W34" s="1293"/>
    </row>
    <row r="35" spans="1:23" ht="26.25" customHeight="1">
      <c r="A35" s="455" t="s">
        <v>291</v>
      </c>
      <c r="B35" s="466" t="s">
        <v>277</v>
      </c>
      <c r="C35" s="1672" t="s">
        <v>1109</v>
      </c>
      <c r="D35" s="1672"/>
      <c r="E35" s="1672"/>
      <c r="F35" s="1672"/>
      <c r="G35" s="1672"/>
      <c r="H35" s="1672"/>
      <c r="I35" s="476" t="s">
        <v>42</v>
      </c>
      <c r="J35" s="463">
        <f>Calculations!R104</f>
        <v>519002</v>
      </c>
      <c r="K35" s="449"/>
      <c r="L35" s="1285"/>
      <c r="M35" s="449"/>
      <c r="O35" s="1293"/>
      <c r="P35" s="1293"/>
      <c r="Q35" s="1293"/>
      <c r="R35" s="1293"/>
      <c r="S35" s="1293"/>
      <c r="T35" s="1293"/>
      <c r="U35" s="1293"/>
      <c r="V35" s="1293"/>
      <c r="W35" s="1293"/>
    </row>
    <row r="36" spans="1:23" ht="14.25" customHeight="1">
      <c r="A36" s="472"/>
      <c r="B36" s="466" t="s">
        <v>278</v>
      </c>
      <c r="C36" s="445" t="s">
        <v>1110</v>
      </c>
      <c r="D36" s="445"/>
      <c r="E36" s="445"/>
      <c r="F36" s="445"/>
      <c r="G36" s="445"/>
      <c r="H36" s="445"/>
      <c r="I36" s="476" t="s">
        <v>42</v>
      </c>
      <c r="J36" s="7"/>
      <c r="K36" s="449"/>
      <c r="L36" s="1285"/>
      <c r="M36" s="91"/>
      <c r="O36" s="207"/>
      <c r="P36" s="96"/>
      <c r="Q36" s="96"/>
      <c r="R36" s="96"/>
      <c r="S36" s="96"/>
      <c r="T36" s="96"/>
      <c r="U36" s="96"/>
      <c r="V36" s="443"/>
    </row>
    <row r="37" spans="1:23" ht="14.25" customHeight="1" thickBot="1">
      <c r="A37" s="472"/>
      <c r="B37" s="466" t="s">
        <v>287</v>
      </c>
      <c r="C37" s="474" t="s">
        <v>1111</v>
      </c>
      <c r="D37" s="445"/>
      <c r="E37" s="445"/>
      <c r="F37" s="445"/>
      <c r="G37" s="445"/>
      <c r="H37" s="445"/>
      <c r="I37" s="476"/>
      <c r="J37" s="454"/>
      <c r="K37" s="449"/>
      <c r="L37" s="1285"/>
      <c r="M37" s="477"/>
      <c r="N37" s="1679" t="str">
        <f>IF(AND(OR(J38&gt;0,M38&gt;0),T38&lt;&gt;"X"),_xlfn.CONCAT("Districts with amounts on this line should have a FY ",TwoYearsPrior," Request Letter on file with ADE. Use the check box in T38 after verifying that ADE has the letter."),"")</f>
        <v/>
      </c>
      <c r="O37" s="1679"/>
      <c r="P37" s="1679"/>
      <c r="Q37" s="1679"/>
      <c r="R37" s="1679"/>
      <c r="S37" s="1679"/>
    </row>
    <row r="38" spans="1:23" ht="12.75" customHeight="1" thickBot="1">
      <c r="A38" s="472"/>
      <c r="B38" s="445"/>
      <c r="C38" s="1168" t="s">
        <v>1359</v>
      </c>
      <c r="D38" s="478"/>
      <c r="E38" s="445"/>
      <c r="F38" s="445"/>
      <c r="G38" s="445"/>
      <c r="H38" s="445"/>
      <c r="I38" s="476"/>
      <c r="J38" s="92"/>
      <c r="K38" s="449"/>
      <c r="L38" s="1285"/>
      <c r="M38" s="92"/>
      <c r="N38" s="1679"/>
      <c r="O38" s="1679"/>
      <c r="P38" s="1679"/>
      <c r="Q38" s="1679"/>
      <c r="R38" s="1679"/>
      <c r="S38" s="1679"/>
      <c r="T38" s="59"/>
    </row>
    <row r="39" spans="1:23" ht="14.25" customHeight="1">
      <c r="A39" s="455" t="s">
        <v>291</v>
      </c>
      <c r="B39" s="466" t="s">
        <v>292</v>
      </c>
      <c r="C39" s="1670" t="s">
        <v>1112</v>
      </c>
      <c r="D39" s="1670"/>
      <c r="E39" s="1670"/>
      <c r="F39" s="1670"/>
      <c r="G39" s="1670"/>
      <c r="H39" s="1670"/>
      <c r="I39" s="1670"/>
      <c r="J39" s="92"/>
      <c r="K39" s="449"/>
      <c r="L39" s="1285"/>
      <c r="M39" s="92"/>
      <c r="O39" s="479"/>
      <c r="P39" s="96"/>
      <c r="Q39" s="96"/>
      <c r="R39" s="96"/>
      <c r="S39" s="1267"/>
      <c r="T39" s="1275"/>
    </row>
    <row r="40" spans="1:23" ht="13.5" customHeight="1">
      <c r="A40" s="451" t="s">
        <v>291</v>
      </c>
      <c r="B40" s="466" t="s">
        <v>293</v>
      </c>
      <c r="C40" s="1167" t="s">
        <v>1360</v>
      </c>
      <c r="D40" s="474"/>
      <c r="E40" s="474"/>
      <c r="F40" s="474"/>
      <c r="G40" s="474"/>
      <c r="H40" s="474"/>
      <c r="I40" s="480"/>
      <c r="K40" s="449"/>
      <c r="L40" s="1285"/>
      <c r="M40" s="449"/>
      <c r="N40" s="443"/>
      <c r="O40" s="207"/>
      <c r="P40" s="96"/>
      <c r="Q40" s="96"/>
      <c r="R40" s="96"/>
      <c r="S40" s="96"/>
      <c r="T40" s="96"/>
    </row>
    <row r="41" spans="1:23" ht="13.5" customHeight="1">
      <c r="A41" s="455"/>
      <c r="B41" s="478"/>
      <c r="C41" s="481" t="s">
        <v>1113</v>
      </c>
      <c r="D41" s="1282"/>
      <c r="E41" s="1282"/>
      <c r="F41" s="1282"/>
      <c r="G41" s="1282"/>
      <c r="H41" s="1282"/>
      <c r="I41" s="480"/>
      <c r="J41" s="1169">
        <f>Calculations!R100</f>
        <v>0</v>
      </c>
      <c r="K41" s="449"/>
      <c r="L41" s="1285"/>
      <c r="M41" s="449"/>
      <c r="O41" s="443"/>
      <c r="P41" s="304"/>
      <c r="Q41" s="96"/>
      <c r="R41" s="96"/>
      <c r="S41" s="96"/>
      <c r="T41" s="96"/>
    </row>
    <row r="42" spans="1:23" ht="12.75" customHeight="1">
      <c r="A42" s="482"/>
      <c r="B42" s="466" t="s">
        <v>294</v>
      </c>
      <c r="C42" s="481" t="s">
        <v>1114</v>
      </c>
      <c r="D42" s="1282"/>
      <c r="E42" s="1282"/>
      <c r="F42" s="1282"/>
      <c r="G42" s="1282"/>
      <c r="H42" s="1282"/>
      <c r="I42" s="480"/>
      <c r="J42" s="36"/>
      <c r="K42" s="483"/>
      <c r="L42" s="1285"/>
      <c r="M42" s="449"/>
      <c r="O42" s="475"/>
      <c r="P42" s="475"/>
      <c r="Q42" s="96"/>
      <c r="R42" s="96"/>
      <c r="S42" s="96"/>
      <c r="T42" s="96"/>
    </row>
    <row r="43" spans="1:23" ht="12.75" customHeight="1">
      <c r="A43" s="484" t="s">
        <v>291</v>
      </c>
      <c r="B43" s="466" t="s">
        <v>295</v>
      </c>
      <c r="C43" s="1675" t="s">
        <v>1115</v>
      </c>
      <c r="D43" s="1675"/>
      <c r="E43" s="1675"/>
      <c r="F43" s="1675"/>
      <c r="G43" s="1675"/>
      <c r="H43" s="1675"/>
      <c r="I43" s="1675"/>
      <c r="J43" s="44"/>
      <c r="K43" s="449"/>
      <c r="L43" s="1285"/>
      <c r="M43" s="449"/>
    </row>
    <row r="44" spans="1:23" ht="24" customHeight="1">
      <c r="A44" s="485" t="s">
        <v>296</v>
      </c>
      <c r="B44" s="1668" t="s">
        <v>297</v>
      </c>
      <c r="C44" s="1668"/>
      <c r="D44" s="1668"/>
      <c r="E44" s="1668"/>
      <c r="F44" s="1668"/>
      <c r="G44" s="1668"/>
      <c r="H44" s="1668"/>
      <c r="I44" s="1668"/>
      <c r="J44" s="486"/>
      <c r="K44" s="449"/>
      <c r="L44" s="1285"/>
      <c r="M44" s="449"/>
    </row>
    <row r="45" spans="1:23" ht="12.75" customHeight="1">
      <c r="A45" s="487"/>
      <c r="B45" s="1284" t="s">
        <v>276</v>
      </c>
      <c r="C45" s="1308" t="s">
        <v>967</v>
      </c>
      <c r="D45" s="1284"/>
      <c r="E45" s="1284"/>
      <c r="F45" s="1284"/>
      <c r="G45" s="1284"/>
      <c r="H45" s="1284"/>
      <c r="I45" s="488"/>
      <c r="J45" s="489"/>
      <c r="K45" s="449"/>
      <c r="L45" s="1285"/>
      <c r="M45" s="449"/>
    </row>
    <row r="46" spans="1:23" ht="12.75" customHeight="1">
      <c r="A46" s="487"/>
      <c r="B46" s="1284"/>
      <c r="C46" s="1678"/>
      <c r="D46" s="1678"/>
      <c r="E46" s="1678"/>
      <c r="F46" s="1678"/>
      <c r="G46" s="1678"/>
      <c r="H46" s="1284"/>
      <c r="I46" s="488"/>
      <c r="J46" s="47"/>
      <c r="K46" s="1285"/>
      <c r="L46" s="449"/>
    </row>
    <row r="47" spans="1:23" ht="12.75" customHeight="1">
      <c r="A47" s="487"/>
      <c r="B47" s="1284" t="s">
        <v>277</v>
      </c>
      <c r="C47" s="1308" t="s">
        <v>1116</v>
      </c>
      <c r="D47" s="1308"/>
      <c r="E47" s="1308"/>
      <c r="F47" s="1308"/>
      <c r="G47" s="1284"/>
      <c r="H47" s="1284"/>
      <c r="I47" s="488"/>
      <c r="J47" s="48"/>
      <c r="K47" s="449"/>
      <c r="L47" s="1285"/>
      <c r="M47" s="449"/>
    </row>
    <row r="48" spans="1:23" ht="12.75" customHeight="1">
      <c r="A48" s="487"/>
      <c r="B48" s="491" t="s">
        <v>278</v>
      </c>
      <c r="C48" s="1308" t="s">
        <v>1117</v>
      </c>
      <c r="D48" s="1308"/>
      <c r="E48" s="1308"/>
      <c r="F48" s="1308"/>
      <c r="G48" s="1308"/>
      <c r="H48" s="1284"/>
      <c r="I48" s="488"/>
      <c r="J48" s="48"/>
      <c r="K48" s="449"/>
      <c r="L48" s="1285"/>
      <c r="M48" s="449"/>
    </row>
    <row r="49" spans="1:23" ht="12" hidden="1">
      <c r="A49" s="487"/>
      <c r="B49" s="1284"/>
      <c r="C49" s="1308"/>
      <c r="D49" s="1308"/>
      <c r="E49" s="1284"/>
      <c r="F49" s="1284"/>
      <c r="G49" s="1284"/>
      <c r="H49" s="1284"/>
      <c r="I49" s="488"/>
      <c r="J49" s="58"/>
      <c r="K49" s="1285"/>
      <c r="L49" s="449"/>
    </row>
    <row r="50" spans="1:23" ht="12.75" customHeight="1">
      <c r="A50" s="487"/>
      <c r="B50" s="493" t="s">
        <v>287</v>
      </c>
      <c r="C50" s="1308" t="s">
        <v>1118</v>
      </c>
      <c r="D50" s="1308"/>
      <c r="E50" s="1308"/>
      <c r="F50" s="1308"/>
      <c r="G50" s="1284"/>
      <c r="H50" s="1284"/>
      <c r="I50" s="488"/>
      <c r="J50" s="57"/>
      <c r="K50" s="449"/>
      <c r="L50" s="1285"/>
      <c r="M50" s="449"/>
    </row>
    <row r="51" spans="1:23" ht="12.75" customHeight="1">
      <c r="A51" s="487"/>
      <c r="B51" s="1286" t="s">
        <v>292</v>
      </c>
      <c r="C51" s="1308" t="s">
        <v>1119</v>
      </c>
      <c r="D51" s="1284"/>
      <c r="E51" s="1308"/>
      <c r="F51" s="1308"/>
      <c r="G51" s="1284"/>
      <c r="H51" s="1284"/>
      <c r="I51" s="488"/>
      <c r="J51" s="48"/>
      <c r="K51" s="1285"/>
      <c r="L51" s="449"/>
    </row>
    <row r="52" spans="1:23" ht="12.75" customHeight="1">
      <c r="A52" s="487"/>
      <c r="B52" s="1286" t="s">
        <v>293</v>
      </c>
      <c r="C52" s="1308" t="s">
        <v>298</v>
      </c>
      <c r="D52" s="1674"/>
      <c r="E52" s="1674"/>
      <c r="F52" s="1674"/>
      <c r="G52" s="1674"/>
      <c r="H52" s="1308"/>
      <c r="I52" s="488"/>
      <c r="J52" s="48"/>
      <c r="K52" s="449"/>
      <c r="L52" s="1285"/>
      <c r="M52" s="449"/>
    </row>
    <row r="53" spans="1:23" ht="13.5" customHeight="1">
      <c r="A53" s="1476" t="s">
        <v>104</v>
      </c>
      <c r="B53" s="1167" t="s">
        <v>1361</v>
      </c>
      <c r="C53" s="473"/>
      <c r="D53" s="445"/>
      <c r="E53" s="445"/>
      <c r="F53" s="445"/>
      <c r="G53" s="445"/>
      <c r="H53" s="445"/>
      <c r="I53" s="449"/>
      <c r="K53" s="449"/>
      <c r="L53" s="1285" t="s">
        <v>42</v>
      </c>
      <c r="M53" s="449"/>
      <c r="O53" s="494"/>
      <c r="P53" s="1294"/>
      <c r="Q53" s="1294"/>
      <c r="R53" s="1294"/>
      <c r="S53" s="1294"/>
      <c r="T53" s="1294"/>
    </row>
    <row r="54" spans="1:23" ht="14.25" customHeight="1" thickBot="1">
      <c r="A54" s="1507"/>
      <c r="B54" s="1477" t="s">
        <v>962</v>
      </c>
      <c r="C54" s="1478"/>
      <c r="D54" s="445"/>
      <c r="E54" s="1285"/>
      <c r="F54" s="1285"/>
      <c r="G54" s="1285"/>
      <c r="H54" s="1285"/>
      <c r="I54" s="447" t="s">
        <v>274</v>
      </c>
      <c r="J54" s="1170">
        <f>SUM(J10:J43)+SUM(J46:J52)</f>
        <v>4523572</v>
      </c>
      <c r="K54" s="449"/>
      <c r="L54" s="1285"/>
      <c r="M54" s="449"/>
      <c r="O54" s="96"/>
      <c r="P54" s="96"/>
      <c r="Q54" s="96"/>
      <c r="R54" s="495"/>
      <c r="S54" s="443"/>
      <c r="T54" s="443"/>
      <c r="U54" s="443"/>
      <c r="V54" s="443"/>
    </row>
    <row r="55" spans="1:23" ht="12.75" customHeight="1" thickTop="1">
      <c r="A55" s="1479" t="s">
        <v>105</v>
      </c>
      <c r="B55" s="444" t="s">
        <v>1200</v>
      </c>
      <c r="C55" s="1480"/>
      <c r="D55" s="443"/>
      <c r="E55" s="443"/>
      <c r="F55" s="443"/>
      <c r="G55" s="443"/>
      <c r="H55" s="443"/>
      <c r="J55" s="449"/>
      <c r="K55" s="449"/>
      <c r="L55" s="1285"/>
      <c r="O55" s="1295"/>
      <c r="P55" s="1295"/>
      <c r="Q55" s="1295"/>
      <c r="R55" s="1295"/>
      <c r="S55" s="1295"/>
      <c r="T55" s="1295"/>
      <c r="U55" s="1294"/>
      <c r="V55" s="496"/>
    </row>
    <row r="56" spans="1:23" ht="12.75" customHeight="1" thickBot="1">
      <c r="A56" s="497"/>
      <c r="B56" s="96" t="s">
        <v>299</v>
      </c>
      <c r="C56" s="443"/>
      <c r="D56" s="443"/>
      <c r="E56" s="443"/>
      <c r="F56" s="443"/>
      <c r="G56" s="443"/>
      <c r="H56" s="443"/>
      <c r="I56" s="447"/>
      <c r="J56" s="498"/>
      <c r="K56" s="449"/>
      <c r="L56" s="447" t="s">
        <v>274</v>
      </c>
      <c r="M56" s="1171">
        <f>SUM(M10:M39)</f>
        <v>255494</v>
      </c>
      <c r="P56" s="96"/>
      <c r="Q56" s="1267"/>
      <c r="R56" s="1275"/>
      <c r="U56" s="443"/>
      <c r="V56" s="443"/>
    </row>
    <row r="57" spans="1:23" ht="13.5" customHeight="1" thickTop="1">
      <c r="A57" s="499"/>
      <c r="B57" s="456"/>
      <c r="C57" s="1285"/>
      <c r="D57" s="1285"/>
      <c r="E57" s="1285"/>
      <c r="F57" s="1285"/>
      <c r="G57" s="1285"/>
      <c r="H57" s="1285"/>
      <c r="I57" s="447"/>
      <c r="J57" s="1285"/>
      <c r="K57" s="449"/>
      <c r="L57" s="1285"/>
      <c r="M57" s="449"/>
      <c r="P57" s="295"/>
      <c r="Q57" s="500"/>
      <c r="R57" s="1275"/>
      <c r="U57" s="1621"/>
      <c r="V57" s="1673"/>
    </row>
    <row r="58" spans="1:23" ht="13.5" customHeight="1">
      <c r="A58" s="428" t="s">
        <v>291</v>
      </c>
      <c r="B58" s="501" t="s">
        <v>1120</v>
      </c>
      <c r="C58" s="96"/>
      <c r="D58" s="445"/>
      <c r="E58" s="445"/>
      <c r="F58" s="96"/>
      <c r="G58" s="445"/>
      <c r="H58" s="445"/>
      <c r="I58" s="445"/>
      <c r="J58" s="445"/>
      <c r="K58" s="445"/>
      <c r="L58" s="445"/>
      <c r="M58" s="295"/>
      <c r="P58" s="502"/>
      <c r="Q58" s="1267"/>
      <c r="R58" s="1275"/>
      <c r="U58" s="1621"/>
      <c r="V58" s="1621"/>
    </row>
    <row r="59" spans="1:23" ht="12" customHeight="1">
      <c r="A59" s="428"/>
      <c r="B59" s="456"/>
      <c r="C59" s="295"/>
      <c r="D59" s="1285"/>
      <c r="E59" s="1285"/>
      <c r="F59" s="1285"/>
      <c r="G59" s="1285"/>
      <c r="H59" s="1285"/>
      <c r="I59" s="1285"/>
      <c r="J59" s="1285"/>
      <c r="K59" s="1285"/>
      <c r="L59" s="1285"/>
      <c r="M59" s="295"/>
      <c r="P59" s="96"/>
      <c r="Q59" s="120"/>
      <c r="R59" s="1275"/>
      <c r="W59" s="1293"/>
    </row>
    <row r="60" spans="1:23" ht="12.75" customHeight="1">
      <c r="A60" s="503"/>
      <c r="B60" s="295"/>
      <c r="C60" s="1285"/>
      <c r="D60" s="1285"/>
      <c r="E60" s="1285"/>
      <c r="F60" s="1285"/>
      <c r="G60" s="1285"/>
      <c r="H60" s="1285"/>
      <c r="I60" s="1285"/>
      <c r="J60" s="1285"/>
      <c r="K60" s="1285"/>
      <c r="L60" s="1285"/>
      <c r="M60" s="295"/>
      <c r="P60" s="207"/>
      <c r="Q60" s="504"/>
      <c r="R60" s="505"/>
    </row>
    <row r="61" spans="1:23" ht="12.75" customHeight="1">
      <c r="A61" s="506"/>
      <c r="D61" s="507"/>
      <c r="E61" s="507"/>
      <c r="F61" s="507"/>
      <c r="G61" s="507"/>
      <c r="H61" s="507"/>
      <c r="I61" s="507"/>
      <c r="J61" s="507"/>
      <c r="K61" s="507"/>
      <c r="L61" s="507"/>
      <c r="M61" s="507"/>
      <c r="P61" s="96"/>
    </row>
    <row r="62" spans="1:23" ht="12.75" customHeight="1">
      <c r="A62" s="506"/>
      <c r="B62" s="507"/>
      <c r="C62" s="507"/>
      <c r="D62" s="507"/>
      <c r="E62" s="507"/>
      <c r="F62" s="507"/>
      <c r="G62" s="507"/>
      <c r="H62" s="507"/>
      <c r="I62" s="507"/>
      <c r="J62" s="507"/>
      <c r="K62" s="507"/>
      <c r="L62" s="507"/>
      <c r="M62" s="507"/>
      <c r="O62" s="96"/>
      <c r="P62" s="96"/>
      <c r="Q62" s="96"/>
      <c r="R62" s="96"/>
      <c r="T62" s="96"/>
    </row>
    <row r="63" spans="1:23" ht="12.75" customHeight="1">
      <c r="A63" s="501"/>
      <c r="B63" s="507"/>
      <c r="C63" s="507"/>
      <c r="D63" s="507"/>
      <c r="E63" s="507"/>
      <c r="F63" s="507"/>
      <c r="G63" s="507"/>
      <c r="H63" s="507"/>
      <c r="I63" s="507"/>
      <c r="J63" s="507"/>
      <c r="K63" s="507"/>
      <c r="L63" s="507"/>
      <c r="M63" s="507"/>
    </row>
    <row r="64" spans="1:23" ht="11.25" customHeight="1">
      <c r="A64" s="508"/>
      <c r="B64" s="507"/>
      <c r="C64" s="507"/>
      <c r="D64" s="507"/>
      <c r="E64" s="507"/>
      <c r="F64" s="507"/>
      <c r="G64" s="507"/>
      <c r="H64" s="507"/>
      <c r="I64" s="507"/>
      <c r="J64" s="507"/>
      <c r="K64" s="507"/>
      <c r="L64" s="507"/>
      <c r="M64" s="507"/>
    </row>
    <row r="65" spans="1:22" ht="12.75" customHeight="1">
      <c r="A65" s="509"/>
      <c r="B65" s="1281"/>
      <c r="C65" s="1281"/>
      <c r="D65" s="1281"/>
      <c r="E65" s="1281"/>
      <c r="F65" s="1281"/>
      <c r="G65" s="1281"/>
      <c r="H65" s="1281"/>
      <c r="I65" s="1281"/>
      <c r="J65" s="1281"/>
      <c r="K65" s="1281"/>
      <c r="L65" s="1281"/>
      <c r="M65" s="1281"/>
      <c r="U65" s="96"/>
      <c r="V65" s="443"/>
    </row>
    <row r="66" spans="1:22" ht="53.25" customHeight="1">
      <c r="A66" s="510"/>
      <c r="B66" s="1303"/>
      <c r="C66" s="1303"/>
      <c r="D66" s="1303"/>
      <c r="E66" s="1303"/>
      <c r="F66" s="1303"/>
      <c r="G66" s="1303"/>
      <c r="H66" s="1303"/>
      <c r="I66" s="1303"/>
      <c r="J66" s="1303"/>
      <c r="K66" s="1303"/>
      <c r="L66" s="1303"/>
      <c r="M66" s="1303"/>
    </row>
    <row r="67" spans="1:22" ht="10.5" customHeight="1">
      <c r="A67" s="511"/>
      <c r="B67" s="512"/>
      <c r="C67" s="512"/>
      <c r="D67" s="512"/>
      <c r="E67" s="512"/>
      <c r="F67" s="512"/>
      <c r="G67" s="512"/>
      <c r="H67" s="512"/>
      <c r="I67" s="512"/>
      <c r="J67" s="512"/>
      <c r="K67" s="512"/>
      <c r="L67" s="512"/>
      <c r="M67" s="512"/>
    </row>
    <row r="68" spans="1:22" ht="4.5" customHeight="1">
      <c r="A68" s="513"/>
      <c r="B68" s="1281"/>
      <c r="C68" s="1281"/>
      <c r="D68" s="1281"/>
      <c r="E68" s="1281"/>
      <c r="F68" s="1281"/>
      <c r="G68" s="1281"/>
      <c r="H68" s="1281"/>
      <c r="I68" s="1281"/>
      <c r="J68" s="1281"/>
      <c r="K68" s="1281"/>
      <c r="L68" s="1281"/>
      <c r="M68" s="1281"/>
    </row>
    <row r="69" spans="1:22" ht="24" customHeight="1">
      <c r="A69" s="514"/>
      <c r="B69" s="507"/>
      <c r="C69" s="507"/>
      <c r="D69" s="507"/>
      <c r="E69" s="507"/>
      <c r="F69" s="507"/>
      <c r="G69" s="507"/>
      <c r="H69" s="507"/>
      <c r="I69" s="507"/>
      <c r="J69" s="507"/>
      <c r="K69" s="507"/>
      <c r="L69" s="507"/>
      <c r="M69" s="507"/>
    </row>
    <row r="70" spans="1:22" ht="27.75" customHeight="1">
      <c r="A70" s="445"/>
      <c r="B70" s="445"/>
      <c r="C70" s="434"/>
      <c r="D70" s="434"/>
      <c r="E70" s="434"/>
      <c r="F70" s="434"/>
      <c r="G70" s="515"/>
      <c r="H70" s="96"/>
      <c r="I70" s="445"/>
      <c r="J70" s="445"/>
      <c r="K70" s="445"/>
      <c r="L70" s="445"/>
      <c r="M70" s="96"/>
    </row>
    <row r="71" spans="1:22" ht="25.5" customHeight="1">
      <c r="A71" s="514"/>
      <c r="B71" s="507"/>
      <c r="C71" s="507"/>
      <c r="D71" s="507"/>
      <c r="E71" s="507"/>
      <c r="F71" s="507"/>
      <c r="G71" s="507"/>
      <c r="H71" s="507"/>
      <c r="I71" s="507"/>
      <c r="J71" s="507"/>
      <c r="K71" s="507"/>
      <c r="L71" s="507"/>
      <c r="M71" s="507"/>
    </row>
    <row r="72" spans="1:22" ht="12.75" customHeight="1">
      <c r="A72" s="510"/>
      <c r="B72" s="1303"/>
      <c r="C72" s="1303"/>
      <c r="D72" s="1303"/>
      <c r="E72" s="1303"/>
      <c r="F72" s="1303"/>
      <c r="G72" s="1303"/>
      <c r="H72" s="1303"/>
      <c r="I72" s="1303"/>
      <c r="J72" s="1303"/>
      <c r="K72" s="1303"/>
      <c r="L72" s="1303"/>
      <c r="M72" s="1303"/>
    </row>
  </sheetData>
  <sheetProtection sheet="1" formatCells="0" formatColumns="0" formatRows="0"/>
  <mergeCells count="25">
    <mergeCell ref="N9:S10"/>
    <mergeCell ref="N15:S17"/>
    <mergeCell ref="B18:I18"/>
    <mergeCell ref="C46:G46"/>
    <mergeCell ref="N37:S38"/>
    <mergeCell ref="O22:U23"/>
    <mergeCell ref="B32:H32"/>
    <mergeCell ref="U58:V58"/>
    <mergeCell ref="C39:I39"/>
    <mergeCell ref="C34:I34"/>
    <mergeCell ref="C35:H35"/>
    <mergeCell ref="U57:V57"/>
    <mergeCell ref="D52:G52"/>
    <mergeCell ref="B44:I44"/>
    <mergeCell ref="C43:I43"/>
    <mergeCell ref="D1:E1"/>
    <mergeCell ref="G1:I1"/>
    <mergeCell ref="I22:I23"/>
    <mergeCell ref="A3:M3"/>
    <mergeCell ref="B22:H23"/>
    <mergeCell ref="C15:F15"/>
    <mergeCell ref="C12:F12"/>
    <mergeCell ref="C14:F14"/>
    <mergeCell ref="C16:F16"/>
    <mergeCell ref="B6:D7"/>
  </mergeCells>
  <conditionalFormatting sqref="M10">
    <cfRule type="containsText" dxfId="24" priority="4" stopIfTrue="1" operator="containsText" text="Error">
      <formula>NOT(ISERROR(SEARCH("Error",M10)))</formula>
    </cfRule>
  </conditionalFormatting>
  <conditionalFormatting sqref="M17">
    <cfRule type="containsText" dxfId="23" priority="3"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xr:uid="{00000000-0002-0000-0700-000000000000}">
      <formula1>0</formula1>
    </dataValidation>
    <dataValidation allowBlank="1" showInputMessage="1" showErrorMessage="1" prompt="Enter negative amount in parentheses." sqref="J50:J51" xr:uid="{00000000-0002-0000-0700-000001000000}"/>
    <dataValidation allowBlank="1" showInputMessage="1" showErrorMessage="1" promptTitle="Contact ADE prior to completing" prompt="Please contact ADE's School Finance payment team for more information." sqref="J42" xr:uid="{00000000-0002-0000-0700-000002000000}"/>
    <dataValidation type="list" allowBlank="1" showInputMessage="1" showErrorMessage="1" sqref="T38" xr:uid="{00000000-0002-0000-0700-000003000000}">
      <formula1>"X"</formula1>
    </dataValidation>
    <dataValidation type="custom" allowBlank="1" showErrorMessage="1" errorTitle="DAA allocatoin" error="The DAA amount allocated to the M&amp;O Fund exceeds the total DAA amount. " sqref="J17" xr:uid="{00000000-0002-0000-0700-000004000000}">
      <formula1>J17&lt;=H17</formula1>
    </dataValidation>
    <dataValidation type="custom" allowBlank="1" showInputMessage="1" showErrorMessage="1" errorTitle="RCL allocation" error="The RCL amount allocated to M&amp;O Fund exceeds the total RCL amount." sqref="J10" xr:uid="{00000000-0002-0000-0700-000005000000}">
      <formula1>J10&lt;=H10</formula1>
    </dataValidation>
    <dataValidation allowBlank="1" showInputMessage="1" showErrorMessage="1" promptTitle="Contact ADE prior to completing" prompt="Enter negative amount in parentheses." sqref="J52" xr:uid="{00000000-0002-0000-0700-000006000000}"/>
  </dataValidations>
  <hyperlinks>
    <hyperlink ref="A9" location="Page7l1" display="*1." xr:uid="{00000000-0004-0000-0700-000000000000}"/>
    <hyperlink ref="A18" location="Page7l3" display="*3." xr:uid="{00000000-0004-0000-0700-000001000000}"/>
    <hyperlink ref="B19" location="Page7l3a" display="(a)" xr:uid="{00000000-0004-0000-0700-000002000000}"/>
    <hyperlink ref="B20" location="Page7l3b" display="(b)" xr:uid="{00000000-0004-0000-0700-000003000000}"/>
    <hyperlink ref="B21" location="Page7l3c" display="(c)" xr:uid="{00000000-0004-0000-0700-000004000000}"/>
    <hyperlink ref="A22" location="Page7l4" display="*4." xr:uid="{00000000-0004-0000-0700-000005000000}"/>
    <hyperlink ref="A24" location="Page7l5" display="*5." xr:uid="{00000000-0004-0000-0700-000006000000}"/>
    <hyperlink ref="B29" location="Page7l5d" display="(d)" xr:uid="{00000000-0004-0000-0700-000007000000}"/>
    <hyperlink ref="A31" location="Page7l7" display="*7." xr:uid="{00000000-0004-0000-0700-000008000000}"/>
    <hyperlink ref="B34" location="Page7l8a" display="(a)" xr:uid="{00000000-0004-0000-0700-000009000000}"/>
    <hyperlink ref="A30" location="Page7l6" display="*6." xr:uid="{00000000-0004-0000-0700-00000A000000}"/>
    <hyperlink ref="B15" location="Page7l2b" display="(b)" xr:uid="{00000000-0004-0000-0700-00000B000000}"/>
    <hyperlink ref="A44" location="Page7l9" display="'*9." xr:uid="{00000000-0004-0000-0700-00000C000000}"/>
    <hyperlink ref="A14" location="Page7l2athroughb" display="*2." xr:uid="{00000000-0004-0000-0700-00000D000000}"/>
    <hyperlink ref="B43" location="Page7l8h" display="(h)" xr:uid="{00000000-0004-0000-0700-00000E000000}"/>
    <hyperlink ref="B14" location="Page7l2athroughb" display="(a)" xr:uid="{00000000-0004-0000-0700-00000F000000}"/>
    <hyperlink ref="B17" location="Page7l2athroughb" display="(c)" xr:uid="{00000000-0004-0000-0700-000010000000}"/>
    <hyperlink ref="B35" location="Page7l8b" display="(b)" xr:uid="{00000000-0004-0000-0700-000011000000}"/>
    <hyperlink ref="B36" location="Page7l8c" display="(c)" xr:uid="{00000000-0004-0000-0700-000012000000}"/>
    <hyperlink ref="B37" location="Page7l8d" display="(d)" xr:uid="{00000000-0004-0000-0700-000013000000}"/>
    <hyperlink ref="B39" location="Page7l8e" display="(e)" xr:uid="{00000000-0004-0000-0700-000014000000}"/>
    <hyperlink ref="B40" location="Page7l8f" display="(f)" xr:uid="{00000000-0004-0000-0700-000015000000}"/>
    <hyperlink ref="B42" location="Page7l8g" display="(g)" xr:uid="{00000000-0004-0000-0700-000016000000}"/>
    <hyperlink ref="B6" location="Page7Gen" display="Instructions" xr:uid="{00000000-0004-0000-0700-000017000000}"/>
  </hyperlinks>
  <printOptions horizontalCentered="1"/>
  <pageMargins left="0.25" right="0.25" top="0.25" bottom="0.25" header="0" footer="0.15"/>
  <pageSetup paperSize="5" scale="93" orientation="portrait" r:id="rId1"/>
  <headerFooter alignWithMargins="0">
    <oddFooter>&amp;L&amp;"Times New Roman,Bold"&amp;9Rev. 5/26&amp;K000000 Arizona Department of Education and Auditor General&amp;C&amp;"Times New Roman,Regular"&amp;9&amp;D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V108"/>
  <sheetViews>
    <sheetView showGridLines="0" topLeftCell="A4" workbookViewId="0">
      <selection activeCell="M17" sqref="M17"/>
    </sheetView>
  </sheetViews>
  <sheetFormatPr defaultColWidth="8.81640625" defaultRowHeight="13.2"/>
  <cols>
    <col min="1" max="3" width="2" style="134" customWidth="1"/>
    <col min="4" max="4" width="8.81640625" style="134" customWidth="1"/>
    <col min="5" max="5" width="23.453125" style="134" customWidth="1"/>
    <col min="6" max="7" width="10.81640625" style="134" customWidth="1"/>
    <col min="8" max="8" width="12.453125" style="134" customWidth="1"/>
    <col min="9" max="9" width="1.81640625" style="134" customWidth="1"/>
    <col min="10" max="10" width="1" style="134" customWidth="1"/>
    <col min="11" max="11" width="11.81640625" style="134" customWidth="1"/>
    <col min="12" max="12" width="10.81640625" style="134" customWidth="1"/>
    <col min="13" max="28" width="8.81640625" style="134" customWidth="1"/>
    <col min="29" max="16384" width="8.81640625" style="134"/>
  </cols>
  <sheetData>
    <row r="1" spans="1:11">
      <c r="A1" s="1132" t="s">
        <v>300</v>
      </c>
      <c r="B1" s="1133"/>
      <c r="C1" s="1133"/>
      <c r="D1" s="1133"/>
      <c r="E1" s="516" t="str">
        <f>DistrictName</f>
        <v>Stanfield Elementary School District</v>
      </c>
      <c r="F1" s="1134" t="s">
        <v>1</v>
      </c>
      <c r="G1" s="516" t="str">
        <f>Cover!H1</f>
        <v>Pinal</v>
      </c>
      <c r="I1" s="1135"/>
      <c r="J1" s="1135" t="s">
        <v>57</v>
      </c>
      <c r="K1" s="517" t="str">
        <f>Cover!S1</f>
        <v>110424000</v>
      </c>
    </row>
    <row r="2" spans="1:11" ht="12.75" customHeight="1">
      <c r="A2" s="518"/>
      <c r="B2" s="1684" t="s">
        <v>692</v>
      </c>
      <c r="C2" s="1684"/>
      <c r="D2" s="1684"/>
      <c r="E2" s="138"/>
      <c r="F2" s="138"/>
      <c r="G2" s="138"/>
      <c r="H2" s="138"/>
      <c r="I2" s="138"/>
      <c r="J2" s="1266" t="s">
        <v>16</v>
      </c>
      <c r="K2" s="519" t="str">
        <f>Cover!C8</f>
        <v>Proposed</v>
      </c>
    </row>
    <row r="3" spans="1:11" ht="18" customHeight="1">
      <c r="A3" s="1685" t="s">
        <v>1347</v>
      </c>
      <c r="B3" s="1686"/>
      <c r="C3" s="1686"/>
      <c r="D3" s="1686"/>
      <c r="E3" s="1686"/>
      <c r="F3" s="1686"/>
      <c r="G3" s="1686"/>
      <c r="H3" s="1686"/>
      <c r="I3" s="1686"/>
      <c r="J3" s="1686"/>
      <c r="K3" s="1686"/>
    </row>
    <row r="4" spans="1:11" ht="13.5" customHeight="1">
      <c r="A4" s="1686"/>
      <c r="B4" s="1686"/>
      <c r="C4" s="1686"/>
      <c r="D4" s="1686"/>
      <c r="E4" s="1686"/>
      <c r="F4" s="1686"/>
      <c r="G4" s="1686"/>
      <c r="H4" s="1686"/>
      <c r="I4" s="1686"/>
      <c r="J4" s="1686"/>
      <c r="K4" s="1686"/>
    </row>
    <row r="5" spans="1:11" ht="5.25" customHeight="1">
      <c r="A5" s="520"/>
      <c r="B5" s="521"/>
      <c r="C5" s="521"/>
      <c r="D5" s="521"/>
      <c r="E5" s="138"/>
      <c r="F5" s="138"/>
      <c r="G5" s="138"/>
      <c r="H5" s="138"/>
      <c r="I5" s="138"/>
      <c r="J5" s="138"/>
      <c r="K5" s="138"/>
    </row>
    <row r="6" spans="1:11" ht="30.75" customHeight="1">
      <c r="A6" s="1469" t="s">
        <v>301</v>
      </c>
      <c r="B6" s="522"/>
      <c r="C6" s="522"/>
      <c r="D6" s="523"/>
      <c r="E6" s="524"/>
      <c r="F6" s="524"/>
      <c r="G6" s="524"/>
      <c r="H6" s="524"/>
      <c r="I6" s="524"/>
      <c r="J6" s="524"/>
      <c r="K6" s="525"/>
    </row>
    <row r="7" spans="1:11" ht="12" customHeight="1">
      <c r="A7" s="526"/>
      <c r="B7" s="527" t="s">
        <v>6</v>
      </c>
      <c r="C7" s="528" t="s">
        <v>1348</v>
      </c>
      <c r="E7" s="209"/>
      <c r="F7" s="209"/>
      <c r="G7" s="209"/>
      <c r="H7" s="209"/>
      <c r="I7" s="524"/>
      <c r="J7" s="524"/>
    </row>
    <row r="8" spans="1:11" ht="12.75" customHeight="1">
      <c r="C8" s="1687" t="s">
        <v>1349</v>
      </c>
      <c r="D8" s="1687"/>
      <c r="E8" s="1687"/>
      <c r="F8" s="1687"/>
      <c r="G8" s="1687"/>
      <c r="H8" s="1687"/>
      <c r="J8" s="1301" t="s">
        <v>274</v>
      </c>
      <c r="K8" s="532">
        <f>[1]!UCBLBudgFY</f>
        <v>360248</v>
      </c>
    </row>
    <row r="9" spans="1:11" ht="14.25" customHeight="1">
      <c r="B9" s="529" t="s">
        <v>8</v>
      </c>
      <c r="C9" s="528" t="s">
        <v>1121</v>
      </c>
      <c r="J9" s="1301"/>
      <c r="K9" s="531"/>
    </row>
    <row r="10" spans="1:11" ht="12.75" customHeight="1">
      <c r="C10" s="1687" t="s">
        <v>302</v>
      </c>
      <c r="D10" s="1687"/>
      <c r="E10" s="1687"/>
      <c r="F10" s="1687"/>
      <c r="G10" s="1687"/>
      <c r="H10" s="1687"/>
      <c r="J10" s="1301" t="s">
        <v>274</v>
      </c>
      <c r="K10" s="24"/>
    </row>
    <row r="11" spans="1:11" ht="14.25" customHeight="1">
      <c r="B11" s="529" t="s">
        <v>22</v>
      </c>
      <c r="C11" s="1687" t="s">
        <v>1350</v>
      </c>
      <c r="D11" s="1688"/>
      <c r="E11" s="1688"/>
      <c r="F11" s="1688"/>
      <c r="G11" s="1688"/>
      <c r="H11" s="1688"/>
      <c r="J11" s="1301" t="s">
        <v>274</v>
      </c>
      <c r="K11" s="533">
        <f>K8+K10</f>
        <v>360248</v>
      </c>
    </row>
    <row r="12" spans="1:11" ht="14.25" customHeight="1">
      <c r="B12" s="527" t="s">
        <v>40</v>
      </c>
      <c r="C12" s="1695" t="s">
        <v>1396</v>
      </c>
      <c r="D12" s="1695"/>
      <c r="E12" s="1695"/>
      <c r="F12" s="1695"/>
      <c r="G12" s="1695"/>
      <c r="H12" s="1695"/>
      <c r="J12" s="1301"/>
      <c r="K12" s="1290"/>
    </row>
    <row r="13" spans="1:11" ht="14.25" customHeight="1">
      <c r="B13" s="527"/>
      <c r="C13" s="1695" t="s">
        <v>1395</v>
      </c>
      <c r="D13" s="1695"/>
      <c r="E13" s="1695"/>
      <c r="F13" s="1695"/>
      <c r="G13" s="1695"/>
      <c r="H13" s="1695"/>
      <c r="J13" s="1301" t="s">
        <v>274</v>
      </c>
      <c r="K13" s="1290">
        <f>'[1]Page 4'!$L$21</f>
        <v>360248</v>
      </c>
    </row>
    <row r="14" spans="1:11" ht="14.25" customHeight="1">
      <c r="B14" s="527" t="s">
        <v>98</v>
      </c>
      <c r="C14" s="1690" t="s">
        <v>303</v>
      </c>
      <c r="D14" s="1690"/>
      <c r="E14" s="1690"/>
      <c r="F14" s="1690"/>
      <c r="G14" s="1690"/>
      <c r="H14" s="1690"/>
      <c r="J14" s="1301" t="s">
        <v>274</v>
      </c>
      <c r="K14" s="534">
        <f>IF(K10&gt;0,MIN(K13+K10,K11),MIN(K11,K13))</f>
        <v>360248</v>
      </c>
    </row>
    <row r="15" spans="1:11" ht="14.25" customHeight="1">
      <c r="B15" s="535" t="s">
        <v>99</v>
      </c>
      <c r="C15" s="1691" t="s">
        <v>1351</v>
      </c>
      <c r="D15" s="1691"/>
      <c r="E15" s="1691"/>
      <c r="F15" s="1691"/>
      <c r="G15" s="1691"/>
      <c r="H15" s="1691"/>
      <c r="J15" s="1301"/>
      <c r="K15" s="1290"/>
    </row>
    <row r="16" spans="1:11" ht="14.25" customHeight="1">
      <c r="B16" s="527"/>
      <c r="C16" s="1692" t="s">
        <v>304</v>
      </c>
      <c r="D16" s="1692"/>
      <c r="E16" s="1692"/>
      <c r="F16" s="1692"/>
      <c r="G16" s="1692"/>
      <c r="H16" s="1692"/>
      <c r="J16" s="1301" t="s">
        <v>274</v>
      </c>
      <c r="K16" s="93">
        <f>201185+1745</f>
        <v>202930</v>
      </c>
    </row>
    <row r="17" spans="1:22" ht="14.25" customHeight="1">
      <c r="B17" s="527" t="s">
        <v>100</v>
      </c>
      <c r="C17" s="1692" t="s">
        <v>1025</v>
      </c>
      <c r="D17" s="1692"/>
      <c r="E17" s="1692"/>
      <c r="F17" s="1692"/>
      <c r="G17" s="1692"/>
      <c r="H17" s="1692"/>
    </row>
    <row r="18" spans="1:22" ht="14.25" customHeight="1">
      <c r="B18" s="527"/>
      <c r="C18" s="1289" t="s">
        <v>305</v>
      </c>
      <c r="D18" s="530"/>
      <c r="E18" s="536"/>
      <c r="F18" s="536"/>
      <c r="G18" s="1442" t="str">
        <f>IF((K14-K16)&lt;0,K14-K16,"")</f>
        <v/>
      </c>
      <c r="H18" s="111" t="str">
        <f>IF(G18&lt;0,"OVEREXPENDED"," ")</f>
        <v xml:space="preserve"> </v>
      </c>
      <c r="J18" s="1301" t="s">
        <v>274</v>
      </c>
      <c r="K18" s="532">
        <f>IF(K14-K16&gt;0,K14-K16,0)</f>
        <v>157318</v>
      </c>
    </row>
    <row r="19" spans="1:22" ht="14.25" customHeight="1">
      <c r="A19" s="537"/>
      <c r="B19" s="535" t="s">
        <v>102</v>
      </c>
      <c r="C19" s="1288" t="s">
        <v>1352</v>
      </c>
      <c r="D19" s="528"/>
      <c r="E19" s="138"/>
      <c r="F19" s="536"/>
      <c r="G19" s="536"/>
      <c r="H19" s="536"/>
      <c r="I19" s="536"/>
      <c r="J19" s="1301" t="s">
        <v>274</v>
      </c>
      <c r="K19" s="24">
        <v>12909</v>
      </c>
    </row>
    <row r="20" spans="1:22" ht="13.5" customHeight="1">
      <c r="A20" s="538"/>
      <c r="B20" s="535" t="s">
        <v>103</v>
      </c>
      <c r="C20" s="246" t="s">
        <v>306</v>
      </c>
      <c r="D20" s="528"/>
      <c r="E20" s="539"/>
      <c r="F20" s="539"/>
      <c r="G20" s="539"/>
      <c r="H20" s="539"/>
      <c r="J20" s="1301" t="s">
        <v>274</v>
      </c>
      <c r="K20" s="24"/>
    </row>
    <row r="21" spans="1:22" ht="4.5" customHeight="1">
      <c r="D21" s="528"/>
      <c r="E21" s="528"/>
      <c r="F21" s="528"/>
      <c r="G21" s="528"/>
      <c r="H21" s="528"/>
    </row>
    <row r="22" spans="1:22" ht="27.75" customHeight="1">
      <c r="B22" s="535" t="s">
        <v>104</v>
      </c>
      <c r="C22" s="1694" t="s">
        <v>1353</v>
      </c>
      <c r="D22" s="1694"/>
      <c r="E22" s="1694"/>
      <c r="F22" s="1694"/>
      <c r="G22" s="1694"/>
      <c r="H22" s="1694"/>
      <c r="J22" s="1301"/>
      <c r="K22" s="1693"/>
      <c r="N22" s="475"/>
      <c r="O22" s="443"/>
      <c r="P22" s="443"/>
      <c r="Q22" s="443"/>
      <c r="R22" s="443"/>
      <c r="S22" s="443"/>
      <c r="T22" s="443"/>
      <c r="U22" s="443"/>
      <c r="V22" s="443"/>
    </row>
    <row r="23" spans="1:22" ht="13.5" customHeight="1">
      <c r="B23" s="540"/>
      <c r="C23" s="231" t="s">
        <v>276</v>
      </c>
      <c r="D23" s="1291" t="s">
        <v>967</v>
      </c>
      <c r="E23" s="1291"/>
      <c r="F23" s="1291"/>
      <c r="G23" s="1291"/>
      <c r="H23" s="1291"/>
      <c r="J23" s="1301"/>
      <c r="K23" s="1693"/>
      <c r="N23" s="475"/>
      <c r="O23" s="443"/>
      <c r="P23" s="443"/>
      <c r="Q23" s="443"/>
      <c r="R23" s="443"/>
      <c r="S23" s="443"/>
      <c r="T23" s="443"/>
      <c r="U23" s="443"/>
      <c r="V23" s="443"/>
    </row>
    <row r="24" spans="1:22" ht="13.5" customHeight="1">
      <c r="B24" s="540"/>
      <c r="C24" s="540"/>
      <c r="D24" s="1689"/>
      <c r="E24" s="1689"/>
      <c r="F24" s="1689"/>
      <c r="G24" s="1689"/>
      <c r="H24" s="1291"/>
      <c r="J24" s="1301" t="s">
        <v>274</v>
      </c>
      <c r="K24" s="93"/>
      <c r="L24" s="1697" t="str">
        <f>IF(OR(AND($G$18&lt;&gt;"",$K$24=""),AND($G$18&lt;&gt;"",$K$25=""),AND($G$18&lt;&gt;"",$K$26=""),AND($K$24&lt;&gt;0,ISNUMBER(K24),D24=""),AND(ISNUMBER($K$26),$K$26&lt;&gt;0,$E$26="")),"The district overexpended its prior year Unrestricted Capital Budget Limit. Line 10 must be completed, as instructed by ADE. See instructions for more information on completing Line 10.","")</f>
        <v/>
      </c>
      <c r="M24" s="1697"/>
      <c r="N24" s="1697"/>
      <c r="O24" s="1697"/>
      <c r="P24" s="1697"/>
      <c r="Q24" s="443"/>
      <c r="R24" s="443"/>
      <c r="S24" s="443"/>
      <c r="T24" s="443"/>
      <c r="U24" s="443"/>
      <c r="V24" s="443"/>
    </row>
    <row r="25" spans="1:22" ht="13.5" customHeight="1">
      <c r="B25" s="540"/>
      <c r="C25" s="541" t="s">
        <v>277</v>
      </c>
      <c r="D25" s="1291" t="s">
        <v>1119</v>
      </c>
      <c r="E25" s="1291"/>
      <c r="F25" s="1291"/>
      <c r="G25" s="1291"/>
      <c r="H25" s="1291"/>
      <c r="J25" s="1301" t="s">
        <v>274</v>
      </c>
      <c r="K25" s="24"/>
      <c r="L25" s="1697"/>
      <c r="M25" s="1697"/>
      <c r="N25" s="1697"/>
      <c r="O25" s="1697"/>
      <c r="P25" s="1697"/>
      <c r="Q25" s="443"/>
      <c r="R25" s="443"/>
      <c r="S25" s="443"/>
      <c r="T25" s="443"/>
      <c r="U25" s="443"/>
      <c r="V25" s="443"/>
    </row>
    <row r="26" spans="1:22" ht="13.5" customHeight="1">
      <c r="B26" s="540"/>
      <c r="C26" s="542" t="s">
        <v>278</v>
      </c>
      <c r="D26" s="1291" t="s">
        <v>298</v>
      </c>
      <c r="E26" s="1689"/>
      <c r="F26" s="1689"/>
      <c r="G26" s="1689"/>
      <c r="H26" s="1291"/>
      <c r="J26" s="1301" t="s">
        <v>274</v>
      </c>
      <c r="K26" s="49"/>
      <c r="L26" s="1697"/>
      <c r="M26" s="1697"/>
      <c r="N26" s="1697"/>
      <c r="O26" s="1697"/>
      <c r="P26" s="1697"/>
      <c r="Q26" s="443"/>
      <c r="R26" s="443"/>
      <c r="S26" s="443"/>
      <c r="T26" s="443"/>
      <c r="U26" s="443"/>
      <c r="V26" s="443"/>
    </row>
    <row r="27" spans="1:22" ht="3.75" customHeight="1">
      <c r="B27" s="543"/>
      <c r="C27" s="543"/>
      <c r="D27" s="528"/>
      <c r="J27" s="1301"/>
      <c r="K27" s="544"/>
      <c r="N27" s="1294"/>
      <c r="O27" s="1295"/>
      <c r="P27" s="1295"/>
      <c r="Q27" s="1295"/>
      <c r="R27" s="1295"/>
      <c r="S27" s="1295"/>
      <c r="T27" s="1295"/>
      <c r="U27" s="1295"/>
      <c r="V27" s="1295"/>
    </row>
    <row r="28" spans="1:22" ht="13.5" customHeight="1">
      <c r="A28" s="545"/>
      <c r="B28" s="546" t="s">
        <v>105</v>
      </c>
      <c r="C28" s="1173" t="s">
        <v>1206</v>
      </c>
      <c r="D28" s="528"/>
      <c r="E28" s="138"/>
      <c r="F28" s="138"/>
      <c r="G28" s="138"/>
      <c r="H28" s="138"/>
      <c r="I28" s="138"/>
      <c r="J28" s="1301" t="s">
        <v>274</v>
      </c>
      <c r="K28" s="532">
        <f>TotAmtCapExped</f>
        <v>255494</v>
      </c>
      <c r="N28" s="1295"/>
      <c r="O28" s="1295"/>
      <c r="P28" s="1295"/>
      <c r="Q28" s="1295"/>
      <c r="R28" s="1295"/>
      <c r="S28" s="1295"/>
      <c r="T28" s="1295"/>
      <c r="U28" s="1295"/>
      <c r="V28" s="1295"/>
    </row>
    <row r="29" spans="1:22" ht="6" customHeight="1">
      <c r="A29" s="545"/>
      <c r="B29" s="543"/>
      <c r="C29" s="543"/>
      <c r="D29" s="528"/>
      <c r="E29" s="138"/>
      <c r="F29" s="138"/>
      <c r="G29" s="138"/>
      <c r="H29" s="138"/>
      <c r="I29" s="138"/>
      <c r="J29" s="1301"/>
      <c r="K29" s="531"/>
      <c r="N29" s="1295"/>
      <c r="O29" s="1295"/>
      <c r="P29" s="1295"/>
      <c r="Q29" s="1295"/>
      <c r="R29" s="1295"/>
      <c r="S29" s="1295"/>
      <c r="T29" s="1295"/>
      <c r="U29" s="1295"/>
      <c r="V29" s="1295"/>
    </row>
    <row r="30" spans="1:22" ht="13.5" customHeight="1" thickBot="1">
      <c r="A30" s="1301"/>
      <c r="B30" s="546" t="s">
        <v>106</v>
      </c>
      <c r="C30" s="1174" t="s">
        <v>1354</v>
      </c>
      <c r="D30" s="528"/>
      <c r="E30" s="539"/>
      <c r="F30" s="539"/>
      <c r="G30" s="1175"/>
      <c r="H30" s="539"/>
      <c r="J30" s="1301" t="s">
        <v>274</v>
      </c>
      <c r="K30" s="547">
        <f>SUM(K18:K28)</f>
        <v>425721</v>
      </c>
      <c r="L30" s="1493"/>
      <c r="N30" s="120"/>
      <c r="O30" s="96"/>
      <c r="P30" s="96"/>
      <c r="Q30" s="96"/>
      <c r="R30" s="96"/>
      <c r="S30" s="96"/>
      <c r="T30" s="96"/>
      <c r="U30" s="96"/>
      <c r="V30" s="295"/>
    </row>
    <row r="31" spans="1:22" ht="8.25" customHeight="1" thickTop="1">
      <c r="A31" s="1301"/>
      <c r="D31" s="528"/>
      <c r="J31" s="1301"/>
      <c r="K31" s="544"/>
      <c r="N31" s="96"/>
      <c r="O31" s="96"/>
      <c r="P31" s="96"/>
      <c r="Q31" s="96"/>
      <c r="R31" s="96"/>
      <c r="S31" s="96"/>
      <c r="T31" s="1630"/>
      <c r="U31" s="1588"/>
      <c r="V31" s="295"/>
    </row>
    <row r="32" spans="1:22" ht="3" customHeight="1">
      <c r="A32" s="1301"/>
      <c r="B32" s="543"/>
      <c r="C32" s="543"/>
      <c r="D32" s="528"/>
      <c r="E32" s="536"/>
      <c r="F32" s="536"/>
      <c r="G32" s="536"/>
      <c r="H32" s="536"/>
      <c r="J32" s="1301"/>
      <c r="K32" s="544"/>
      <c r="N32" s="96"/>
      <c r="O32" s="96"/>
      <c r="P32" s="96"/>
      <c r="Q32" s="96"/>
      <c r="R32" s="96"/>
      <c r="S32" s="96"/>
      <c r="T32" s="1630"/>
      <c r="U32" s="1588"/>
      <c r="V32" s="295"/>
    </row>
    <row r="33" spans="1:22" ht="15" customHeight="1">
      <c r="A33" s="548" t="s">
        <v>262</v>
      </c>
      <c r="B33" s="549" t="s">
        <v>963</v>
      </c>
      <c r="C33" s="550"/>
      <c r="D33" s="528"/>
      <c r="E33" s="536"/>
      <c r="F33" s="536"/>
      <c r="G33" s="536"/>
      <c r="H33" s="536"/>
      <c r="I33" s="138"/>
      <c r="J33" s="1301"/>
      <c r="K33" s="544"/>
      <c r="N33" s="96"/>
      <c r="O33" s="96"/>
      <c r="P33" s="96"/>
      <c r="Q33" s="96"/>
      <c r="R33" s="96"/>
      <c r="S33" s="96"/>
      <c r="T33" s="1630"/>
      <c r="U33" s="1588"/>
      <c r="V33" s="295"/>
    </row>
    <row r="34" spans="1:22" ht="16.5" customHeight="1">
      <c r="A34" s="551"/>
      <c r="B34" s="552"/>
      <c r="C34" s="550"/>
      <c r="D34" s="528"/>
      <c r="E34" s="536"/>
      <c r="F34" s="536"/>
      <c r="G34" s="536"/>
      <c r="H34" s="536"/>
      <c r="I34" s="138"/>
      <c r="J34" s="1301"/>
      <c r="N34" s="96"/>
      <c r="O34" s="96"/>
      <c r="P34" s="96"/>
      <c r="Q34" s="96"/>
      <c r="R34" s="96"/>
      <c r="S34" s="96"/>
      <c r="T34" s="1630"/>
      <c r="U34" s="1588"/>
      <c r="V34" s="295"/>
    </row>
    <row r="36" spans="1:22">
      <c r="A36" s="138"/>
      <c r="B36" s="138"/>
      <c r="C36" s="138"/>
    </row>
    <row r="37" spans="1:22" ht="15">
      <c r="A37" s="553"/>
      <c r="B37" s="1683"/>
      <c r="C37" s="1683"/>
      <c r="D37" s="1682"/>
      <c r="E37" s="1682"/>
    </row>
    <row r="38" spans="1:22" ht="15">
      <c r="A38" s="554"/>
      <c r="B38" s="1681"/>
      <c r="C38" s="1681"/>
      <c r="D38" s="1682"/>
      <c r="E38" s="1682"/>
    </row>
    <row r="39" spans="1:22" ht="15">
      <c r="A39" s="554"/>
      <c r="B39" s="1681"/>
      <c r="C39" s="1681"/>
      <c r="D39" s="1682"/>
      <c r="E39" s="1682"/>
    </row>
    <row r="40" spans="1:22" ht="15">
      <c r="A40" s="554"/>
      <c r="B40" s="555"/>
      <c r="C40" s="555"/>
      <c r="D40" s="556"/>
      <c r="E40" s="556"/>
    </row>
    <row r="41" spans="1:22" ht="15">
      <c r="A41" s="554"/>
      <c r="B41" s="1683"/>
      <c r="C41" s="1683"/>
      <c r="D41" s="1682"/>
      <c r="E41" s="1682"/>
    </row>
    <row r="42" spans="1:22" ht="15">
      <c r="A42" s="554"/>
      <c r="B42" s="1683"/>
      <c r="C42" s="1683"/>
      <c r="D42" s="1682"/>
      <c r="E42" s="1682"/>
    </row>
    <row r="43" spans="1:22" ht="12.75" customHeight="1">
      <c r="A43" s="553"/>
    </row>
    <row r="44" spans="1:22" ht="15">
      <c r="A44" s="554"/>
      <c r="B44" s="1683"/>
      <c r="C44" s="1683"/>
      <c r="D44" s="1682"/>
      <c r="E44" s="1682"/>
    </row>
    <row r="45" spans="1:22" ht="15">
      <c r="A45" s="554"/>
      <c r="E45" s="1292"/>
      <c r="F45" s="1290"/>
      <c r="G45" s="1290"/>
      <c r="H45" s="1290"/>
      <c r="I45"/>
      <c r="J45" s="1290"/>
      <c r="K45" s="538"/>
      <c r="L45" s="1290"/>
    </row>
    <row r="46" spans="1:22" ht="15">
      <c r="A46" s="554"/>
      <c r="B46" s="1683"/>
      <c r="C46" s="1683"/>
      <c r="D46" s="1696"/>
      <c r="E46" s="1696"/>
      <c r="F46" s="1696"/>
      <c r="G46" s="1696"/>
      <c r="H46" s="1696"/>
      <c r="I46" s="1696"/>
      <c r="J46" s="1696"/>
      <c r="K46" s="1696"/>
      <c r="L46" s="1696"/>
    </row>
    <row r="47" spans="1:22" ht="13.8">
      <c r="A47" s="557"/>
      <c r="B47" s="138"/>
      <c r="C47" s="138"/>
    </row>
    <row r="108" spans="1:12">
      <c r="A108" s="1297"/>
      <c r="L108" s="1297"/>
    </row>
  </sheetData>
  <sheetProtection sheet="1" formatCells="0" formatColumns="0" formatRows="0"/>
  <mergeCells count="25">
    <mergeCell ref="C12:H12"/>
    <mergeCell ref="C13:H13"/>
    <mergeCell ref="E26:G26"/>
    <mergeCell ref="B39:E39"/>
    <mergeCell ref="B46:L46"/>
    <mergeCell ref="B42:E42"/>
    <mergeCell ref="B44:E44"/>
    <mergeCell ref="B41:E41"/>
    <mergeCell ref="L24:P26"/>
    <mergeCell ref="U31:U34"/>
    <mergeCell ref="T31:T34"/>
    <mergeCell ref="B38:E38"/>
    <mergeCell ref="B37:E37"/>
    <mergeCell ref="B2:D2"/>
    <mergeCell ref="A3:K4"/>
    <mergeCell ref="C10:H10"/>
    <mergeCell ref="C11:H11"/>
    <mergeCell ref="D24:G24"/>
    <mergeCell ref="C14:H14"/>
    <mergeCell ref="C15:H15"/>
    <mergeCell ref="C16:H16"/>
    <mergeCell ref="K22:K23"/>
    <mergeCell ref="C8:H8"/>
    <mergeCell ref="C17:H17"/>
    <mergeCell ref="C22:H22"/>
  </mergeCells>
  <conditionalFormatting sqref="D24:G24">
    <cfRule type="expression" dxfId="22" priority="6">
      <formula>AND($K$24&lt;&gt;0,ISNUMBER(K24),D24="")</formula>
    </cfRule>
  </conditionalFormatting>
  <conditionalFormatting sqref="E26:G26">
    <cfRule type="expression" dxfId="21" priority="5">
      <formula>AND(ISNUMBER($K$26),$K$26&lt;&gt;0,$E$26="")</formula>
    </cfRule>
  </conditionalFormatting>
  <conditionalFormatting sqref="K24">
    <cfRule type="expression" dxfId="20" priority="2">
      <formula>AND($G$18&lt;&gt;"",$K$24="")</formula>
    </cfRule>
  </conditionalFormatting>
  <conditionalFormatting sqref="K25">
    <cfRule type="expression" dxfId="19" priority="3">
      <formula>AND($G$18&lt;&gt;"",$K$25="")</formula>
    </cfRule>
  </conditionalFormatting>
  <conditionalFormatting sqref="K26">
    <cfRule type="expression" dxfId="18" priority="4">
      <formula>AND($G$18&lt;&gt;"",$K$26="")</formula>
    </cfRule>
  </conditionalFormatting>
  <conditionalFormatting sqref="L24:P26">
    <cfRule type="expression" dxfId="17" priority="1">
      <formula>L24&lt;&gt;""</formula>
    </cfRule>
  </conditionalFormatting>
  <dataValidations count="3">
    <dataValidation allowBlank="1" showInputMessage="1" showErrorMessage="1" prompt="Enter negative amount in parentheses." sqref="K25" xr:uid="{00000000-0002-0000-0800-000000000000}"/>
    <dataValidation operator="lessThanOrEqual" allowBlank="1" showInputMessage="1" showErrorMessage="1" prompt="This amount must be negative. Enter amount in parentheses." sqref="K24" xr:uid="{00000000-0002-0000-0800-000001000000}"/>
    <dataValidation allowBlank="1" showInputMessage="1" showErrorMessage="1" promptTitle="Contact ADE prior to completing" prompt="Enter negative amount in parentheses." sqref="K26" xr:uid="{00000000-0002-0000-0800-000002000000}"/>
  </dataValidations>
  <hyperlinks>
    <hyperlink ref="B9" location="Page8lA2" display="2." xr:uid="{00000000-0004-0000-0800-000000000000}"/>
    <hyperlink ref="B20" location="Page8lA9" display="'9." xr:uid="{00000000-0004-0000-0800-000001000000}"/>
    <hyperlink ref="B22" location="Page8lA10" display="'10." xr:uid="{00000000-0004-0000-0800-000002000000}"/>
    <hyperlink ref="B15" location="Page8lA6" display="'6." xr:uid="{00000000-0004-0000-0800-000003000000}"/>
    <hyperlink ref="B19" location="Page8lA8" display="'8." xr:uid="{00000000-0004-0000-0800-000004000000}"/>
    <hyperlink ref="B11" location="Page8lA3" display="3." xr:uid="{00000000-0004-0000-0800-000005000000}"/>
    <hyperlink ref="B2" location="Page8lA2" display="Instructions" xr:uid="{00000000-0004-0000-0800-000006000000}"/>
  </hyperlinks>
  <printOptions horizontalCentered="1"/>
  <pageMargins left="0.25" right="0.25" top="0.25" bottom="0.25" header="0" footer="0.15"/>
  <pageSetup paperSize="5" scale="98" orientation="portrait" r:id="rId1"/>
  <headerFooter alignWithMargins="0">
    <oddFooter>&amp;L&amp;"Times New Roman,Bold"&amp;9Rev. 5/26&amp;K000000 Arizona Department of Education and Auditor General&amp;C&amp;"Times New Roman,Regular"&amp;9&amp;D  &amp;T</oddFooter>
  </headerFooter>
  <colBreaks count="1" manualBreakCount="1">
    <brk id="13" max="1048575" man="1"/>
  </colBreak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3" ma:contentTypeDescription="Create a new document." ma:contentTypeScope="" ma:versionID="ced91354f4bce877edba07724a796b3e">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ab8e9d1407ed56335ba334a25f01c6f7"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purl.org/dc/terms/"/>
    <ds:schemaRef ds:uri="ffcdc2e4-c8f2-4bf7-ab1d-ea300bde3fd8"/>
    <ds:schemaRef ds:uri="http://purl.org/dc/elements/1.1/"/>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30e8ffde-18ad-4221-a68d-976eb256fe4f"/>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DB4006C9-8F10-4691-895E-5B98F28588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1044</vt:i4>
      </vt:variant>
    </vt:vector>
  </HeadingPairs>
  <TitlesOfParts>
    <vt:vector size="1062"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Page6l34</vt:lpstr>
      <vt:lpstr>Page6l4</vt:lpstr>
      <vt:lpstr>'Page 8'!Page7</vt:lpstr>
      <vt:lpstr>Page7Gen</vt:lpstr>
      <vt:lpstr>Page7l1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Jennifer Norred</cp:lastModifiedBy>
  <cp:lastPrinted>2026-05-26T21:02:34Z</cp:lastPrinted>
  <dcterms:created xsi:type="dcterms:W3CDTF">1998-03-23T03:01:19Z</dcterms:created>
  <dcterms:modified xsi:type="dcterms:W3CDTF">2026-06-16T00:45:49Z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9244C05E-B17A-4A06-A66C-6A7F09ACB0F9</vt:lpwstr>
  </property>
  <property fmtid="{D5CDD505-2E9C-101B-9397-08002B2CF9AE}" pid="7" name="ContentTypeId">
    <vt:lpwstr>0x01010011E11B9217455B40B8FBB9893A94134E</vt:lpwstr>
  </property>
  <property fmtid="{D5CDD505-2E9C-101B-9397-08002B2CF9AE}" pid="8" name="MediaServiceImageTags">
    <vt:lpwstr/>
  </property>
</Properties>
</file>