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Sept\"/>
    </mc:Choice>
  </mc:AlternateContent>
  <xr:revisionPtr revIDLastSave="0" documentId="13_ncr:1_{FE845180-3A95-4E79-90F9-6D0EA4AD74DD}" xr6:coauthVersionLast="36" xr6:coauthVersionMax="36" xr10:uidLastSave="{00000000-0000-0000-0000-000000000000}"/>
  <bookViews>
    <workbookView xWindow="0" yWindow="0" windowWidth="19200" windowHeight="6930" tabRatio="603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8" l="1"/>
  <c r="L27" i="8"/>
  <c r="H27" i="8"/>
  <c r="G27" i="8"/>
  <c r="H41" i="8"/>
  <c r="H34" i="8"/>
  <c r="G34" i="8"/>
  <c r="G37" i="5" l="1"/>
  <c r="G36" i="5"/>
  <c r="H37" i="3"/>
  <c r="H36" i="3"/>
  <c r="G37" i="3"/>
  <c r="G36" i="3"/>
  <c r="H34" i="1"/>
  <c r="G34" i="1"/>
  <c r="M17" i="7" l="1"/>
  <c r="S63" i="8" l="1"/>
  <c r="AW15" i="9" l="1"/>
  <c r="AW16" i="9"/>
  <c r="AW23" i="9"/>
  <c r="AV15" i="9"/>
  <c r="AV16" i="9"/>
  <c r="AV23" i="9"/>
  <c r="I56" i="9"/>
  <c r="O56" i="1" l="1"/>
  <c r="Y47" i="5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E7" i="9"/>
  <c r="E6" i="9"/>
  <c r="AQ55" i="9"/>
  <c r="AR55" i="9"/>
  <c r="AR54" i="9"/>
  <c r="AQ54" i="9"/>
  <c r="AQ35" i="9"/>
  <c r="AR35" i="9"/>
  <c r="AQ36" i="9"/>
  <c r="AR36" i="9"/>
  <c r="AQ37" i="9"/>
  <c r="AV37" i="9" s="1"/>
  <c r="AR37" i="9"/>
  <c r="AW37" i="9" s="1"/>
  <c r="AQ38" i="9"/>
  <c r="AR38" i="9"/>
  <c r="AQ39" i="9"/>
  <c r="AV39" i="9" s="1"/>
  <c r="AR39" i="9"/>
  <c r="AW39" i="9" s="1"/>
  <c r="AQ40" i="9"/>
  <c r="AR40" i="9"/>
  <c r="AQ41" i="9"/>
  <c r="AV41" i="9" s="1"/>
  <c r="AR41" i="9"/>
  <c r="AW41" i="9" s="1"/>
  <c r="AQ42" i="9"/>
  <c r="AV42" i="9" s="1"/>
  <c r="AR42" i="9"/>
  <c r="AW42" i="9" s="1"/>
  <c r="AQ43" i="9"/>
  <c r="AR43" i="9"/>
  <c r="AQ44" i="9"/>
  <c r="AR44" i="9"/>
  <c r="AQ45" i="9"/>
  <c r="AR45" i="9"/>
  <c r="AQ46" i="9"/>
  <c r="AV46" i="9" s="1"/>
  <c r="AR46" i="9"/>
  <c r="AW46" i="9" s="1"/>
  <c r="AQ47" i="9"/>
  <c r="AR47" i="9"/>
  <c r="AQ48" i="9"/>
  <c r="AV48" i="9" s="1"/>
  <c r="AR48" i="9"/>
  <c r="AQ49" i="9"/>
  <c r="AV49" i="9" s="1"/>
  <c r="AR49" i="9"/>
  <c r="AR34" i="9"/>
  <c r="AQ34" i="9"/>
  <c r="AQ15" i="9"/>
  <c r="AR15" i="9"/>
  <c r="AQ17" i="9"/>
  <c r="AR17" i="9"/>
  <c r="AQ18" i="9"/>
  <c r="AV18" i="9" s="1"/>
  <c r="AR18" i="9"/>
  <c r="AW18" i="9" s="1"/>
  <c r="AQ19" i="9"/>
  <c r="AR19" i="9"/>
  <c r="AQ20" i="9"/>
  <c r="AR20" i="9"/>
  <c r="AQ21" i="9"/>
  <c r="AV21" i="9" s="1"/>
  <c r="AR21" i="9"/>
  <c r="AW21" i="9" s="1"/>
  <c r="AQ22" i="9"/>
  <c r="AR22" i="9"/>
  <c r="AQ24" i="9"/>
  <c r="AV24" i="9" s="1"/>
  <c r="AR24" i="9"/>
  <c r="AW24" i="9" s="1"/>
  <c r="AQ25" i="9"/>
  <c r="AR25" i="9"/>
  <c r="AQ26" i="9"/>
  <c r="AV26" i="9" s="1"/>
  <c r="AR26" i="9"/>
  <c r="AW26" i="9" s="1"/>
  <c r="AQ27" i="9"/>
  <c r="AR27" i="9"/>
  <c r="AQ28" i="9"/>
  <c r="AR28" i="9"/>
  <c r="AQ29" i="9"/>
  <c r="AV29" i="9" s="1"/>
  <c r="AR29" i="9"/>
  <c r="AW29" i="9" s="1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V43" i="9" s="1"/>
  <c r="AC43" i="9"/>
  <c r="AB44" i="9"/>
  <c r="AC44" i="9"/>
  <c r="AB45" i="9"/>
  <c r="AC45" i="9"/>
  <c r="AB46" i="9"/>
  <c r="AC46" i="9"/>
  <c r="AB47" i="9"/>
  <c r="AV47" i="9" s="1"/>
  <c r="AC47" i="9"/>
  <c r="AB48" i="9"/>
  <c r="AC48" i="9"/>
  <c r="AW48" i="9" s="1"/>
  <c r="AB49" i="9"/>
  <c r="AC49" i="9"/>
  <c r="AW49" i="9" s="1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AV27" i="9" s="1"/>
  <c r="X27" i="9"/>
  <c r="W28" i="9"/>
  <c r="X28" i="9"/>
  <c r="W29" i="9"/>
  <c r="X29" i="9"/>
  <c r="X14" i="9"/>
  <c r="W1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M56" i="9" s="1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AV45" i="9" s="1"/>
  <c r="N45" i="9"/>
  <c r="AW45" i="9" s="1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AW14" i="9" s="1"/>
  <c r="AX14" i="9" s="1"/>
  <c r="H14" i="9"/>
  <c r="AV14" i="9" s="1"/>
  <c r="AV22" i="9" l="1"/>
  <c r="AW27" i="9"/>
  <c r="AS55" i="9"/>
  <c r="AW55" i="9"/>
  <c r="AV55" i="9"/>
  <c r="AV36" i="9"/>
  <c r="AW54" i="9"/>
  <c r="AV28" i="9"/>
  <c r="AW20" i="9"/>
  <c r="AV44" i="9"/>
  <c r="AV40" i="9"/>
  <c r="AV35" i="9"/>
  <c r="M50" i="9"/>
  <c r="AW28" i="9"/>
  <c r="AW22" i="9"/>
  <c r="AW25" i="9"/>
  <c r="AV25" i="9"/>
  <c r="AV20" i="9"/>
  <c r="AW19" i="9"/>
  <c r="M30" i="9"/>
  <c r="AV19" i="9"/>
  <c r="AV34" i="9"/>
  <c r="AV54" i="9"/>
  <c r="AV56" i="9" s="1"/>
  <c r="H56" i="9"/>
  <c r="I30" i="9"/>
  <c r="AW17" i="9"/>
  <c r="AV17" i="9"/>
  <c r="H30" i="9"/>
  <c r="AW40" i="9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N56" i="9" l="1"/>
  <c r="AV30" i="9"/>
  <c r="AW30" i="9"/>
  <c r="M51" i="9"/>
  <c r="AI56" i="9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M58" i="9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Q58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R56" i="8" l="1"/>
  <c r="M56" i="8"/>
  <c r="H56" i="8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N47" i="8" s="1"/>
  <c r="AK48" i="8"/>
  <c r="AL48" i="8"/>
  <c r="AM48" i="8"/>
  <c r="AN48" i="8" s="1"/>
  <c r="AK49" i="8"/>
  <c r="AM49" i="8"/>
  <c r="AM33" i="8"/>
  <c r="AK33" i="8"/>
  <c r="AK50" i="8" l="1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Y24" i="2" s="1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G50" i="1" l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G51" i="1" l="1"/>
  <c r="AL61" i="8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S50" i="8"/>
  <c r="R50" i="8"/>
  <c r="Q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R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R51" i="8" l="1"/>
  <c r="R58" i="8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H51" i="8"/>
  <c r="H58" i="8" s="1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G56" i="1"/>
  <c r="C4" i="7"/>
  <c r="C4" i="6"/>
  <c r="C4" i="5"/>
  <c r="C4" i="4"/>
  <c r="C4" i="3"/>
  <c r="C4" i="2"/>
  <c r="AW38" i="9" l="1"/>
  <c r="I50" i="9"/>
  <c r="I51" i="9" s="1"/>
  <c r="H38" i="9"/>
  <c r="H50" i="1"/>
  <c r="AW50" i="9"/>
  <c r="J58" i="8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H51" i="1" l="1"/>
  <c r="H58" i="1" s="1"/>
  <c r="AV38" i="9"/>
  <c r="H50" i="9"/>
  <c r="H51" i="9" s="1"/>
  <c r="H58" i="9" s="1"/>
  <c r="AW51" i="9"/>
  <c r="W61" i="6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AV50" i="9" l="1"/>
  <c r="AX38" i="9"/>
  <c r="Y53" i="6"/>
  <c r="X61" i="6"/>
  <c r="X66" i="6" s="1"/>
  <c r="Y66" i="6" s="1"/>
  <c r="X54" i="6"/>
  <c r="Y54" i="6" s="1"/>
  <c r="X53" i="5"/>
  <c r="Y53" i="5" s="1"/>
  <c r="X60" i="5"/>
  <c r="X65" i="5" s="1"/>
  <c r="Y65" i="5" s="1"/>
  <c r="AV51" i="9" l="1"/>
  <c r="AX50" i="9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M54" i="6" s="1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Y29" i="4" l="1"/>
  <c r="AV58" i="9"/>
  <c r="AV60" i="9" s="1"/>
  <c r="AX51" i="9"/>
  <c r="Y63" i="4"/>
  <c r="N54" i="6"/>
  <c r="S53" i="5"/>
  <c r="T53" i="5" s="1"/>
  <c r="Y29" i="7"/>
  <c r="AD30" i="5"/>
  <c r="Y31" i="4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AF54" i="9" s="1"/>
  <c r="W57" i="3"/>
  <c r="M58" i="3"/>
  <c r="M60" i="3" s="1"/>
  <c r="M65" i="3" s="1"/>
  <c r="V57" i="3"/>
  <c r="AF55" i="9" s="1"/>
  <c r="AF56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J17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B58" i="5" l="1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<sst xmlns="http://schemas.openxmlformats.org/spreadsheetml/2006/main" count="1521" uniqueCount="105">
  <si>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</si>
  <si>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</si>
  <si>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</si>
  <si>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</si>
  <si>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</si>
  <si>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</si>
  <si>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</si>
  <si>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</si>
  <si>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</si>
  <si>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</si>
  <si>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</si>
  <si>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</si>
  <si>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</si>
  <si>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</si>
  <si>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</si>
  <si>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</si>
  <si>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</si>
  <si>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</si>
  <si>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</si>
  <si>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</si>
  <si>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</si>
  <si>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</si>
  <si>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</si>
  <si>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</si>
  <si>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</si>
  <si>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</si>
  <si>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</si>
  <si>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</si>
  <si>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</si>
  <si>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</si>
  <si>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</si>
  <si>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</si>
  <si>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</si>
  <si>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</si>
  <si>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</si>
  <si>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</si>
  <si>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</si>
  <si>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</si>
  <si>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</si>
  <si>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</si>
  <si>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</si>
  <si>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</si>
  <si>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</si>
  <si>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</si>
  <si>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</si>
  <si>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</si>
  <si>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</si>
  <si>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</si>
  <si>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</si>
  <si>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</si>
  <si>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</si>
  <si>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</si>
  <si>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</si>
  <si>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</si>
  <si>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</si>
  <si>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</si>
  <si>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</si>
  <si>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</si>
  <si>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</si>
  <si>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</si>
  <si>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</si>
  <si>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</si>
  <si>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</si>
  <si>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</si>
  <si>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</si>
  <si>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</si>
  <si>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</si>
  <si>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</si>
  <si>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</si>
  <si>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</si>
  <si>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</si>
  <si>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</si>
  <si>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</si>
  <si>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</si>
  <si>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</si>
  <si>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</si>
  <si>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</si>
  <si>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</si>
  <si>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</si>
  <si>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</si>
  <si>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</si>
  <si>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</si>
  <si>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</si>
  <si>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</si>
  <si>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</si>
  <si>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</si>
  <si>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</si>
  <si>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</si>
  <si>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</si>
  <si>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</si>
  <si>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</si>
  <si>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</si>
  <si>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</si>
  <si>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</si>
  <si>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</si>
  <si>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</si>
  <si>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</si>
  <si>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</si>
  <si>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</si>
  <si>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</si>
  <si>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</si>
  <si>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</si>
  <si>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Page 13</t>
  </si>
  <si>
    <t>Page  4</t>
  </si>
  <si>
    <t>For Month or Quarter Ended and For the Year Ending 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</si>
</sst>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58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9" fillId="3" borderId="1" xfId="4" applyFont="1" applyFill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  <xf numFmtId="0" fontId="7" fillId="0" borderId="0" xfId="4" applyFont="1" applyFill="1" applyBorder="1" applyAlignment="1" applyProtection="1">
      <alignment horizontal="center"/>
      <protection locked="0"/>
    </xf>
    <xf numFmtId="41" fontId="2" fillId="0" borderId="1" xfId="1" applyNumberFormat="1" applyFont="1" applyFill="1" applyBorder="1" applyAlignment="1">
      <alignment horizontal="right"/>
    </xf>
    <xf numFmtId="43" fontId="2" fillId="0" borderId="2" xfId="1" applyFont="1" applyFill="1" applyBorder="1" applyAlignment="1">
      <alignment horizontal="right"/>
    </xf>
    <xf numFmtId="42" fontId="2" fillId="0" borderId="7" xfId="2" applyNumberFormat="1" applyFont="1" applyFill="1" applyBorder="1" applyAlignment="1">
      <alignment horizontal="right"/>
    </xf>
    <xf numFmtId="0" fontId="2" fillId="0" borderId="0" xfId="0" applyFont="1" applyFill="1"/>
    <xf numFmtId="9" fontId="2" fillId="0" borderId="2" xfId="3" applyFont="1" applyFill="1" applyBorder="1" applyAlignment="1">
      <alignment horizontal="right"/>
    </xf>
    <xf numFmtId="9" fontId="2" fillId="0" borderId="7" xfId="3" applyFont="1" applyFill="1" applyBorder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41" fontId="2" fillId="0" borderId="2" xfId="3" applyNumberFormat="1" applyFont="1" applyFill="1" applyBorder="1" applyAlignment="1">
      <alignment horizontal="right"/>
    </xf>
    <xf numFmtId="41" fontId="2" fillId="0" borderId="7" xfId="2" applyNumberFormat="1" applyFont="1" applyFill="1" applyBorder="1" applyAlignment="1">
      <alignment horizontal="right"/>
    </xf>
    <xf numFmtId="41" fontId="2" fillId="0" borderId="7" xfId="3" applyNumberFormat="1" applyFont="1" applyFill="1" applyBorder="1" applyAlignment="1">
      <alignment horizontal="right"/>
    </xf>
    <xf numFmtId="42" fontId="2" fillId="0" borderId="1" xfId="2" applyNumberFormat="1" applyFont="1" applyFill="1" applyBorder="1" applyAlignment="1">
      <alignment horizontal="right"/>
    </xf>
    <xf numFmtId="42" fontId="2" fillId="0" borderId="2" xfId="2" applyNumberFormat="1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 codeName="Sheet1">
    <pageSetUpPr fitToPage="1"/>
  </sheetPr>
  <dimension ref="A1:Z65"/>
  <sheetViews>
    <sheetView tabSelected="1" topLeftCell="C1" zoomScale="80" zoomScaleNormal="80" zoomScalePageLayoutView="50" workbookViewId="0">
      <selection activeCell="D10" sqref="D10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18.28515625" style="149" bestFit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3.42578125" style="149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25" t="s">
        <v>50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6" ht="23.25" x14ac:dyDescent="0.35">
      <c r="A2" s="45"/>
      <c r="B2" s="46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6" ht="23.25" x14ac:dyDescent="0.35">
      <c r="A3" s="45"/>
      <c r="B3" s="46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6" ht="23.25" x14ac:dyDescent="0.35">
      <c r="A4" s="45"/>
      <c r="B4" s="46"/>
      <c r="C4" s="125" t="s">
        <v>104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6" ht="28.5" customHeight="1" x14ac:dyDescent="0.2">
      <c r="A5" s="45"/>
      <c r="B5" s="46"/>
      <c r="C5" s="5"/>
      <c r="D5" s="5"/>
      <c r="E5" s="5"/>
      <c r="F5" s="5"/>
      <c r="G5" s="17"/>
      <c r="H5" s="5"/>
      <c r="I5" s="5"/>
      <c r="J5" s="5"/>
      <c r="K5" s="5"/>
      <c r="L5" s="5"/>
      <c r="M5" s="5"/>
      <c r="N5" s="5"/>
      <c r="O5" s="5"/>
      <c r="P5" s="5"/>
      <c r="Q5" s="17"/>
      <c r="R5" s="17"/>
      <c r="S5" s="17"/>
      <c r="T5" s="17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17"/>
      <c r="H6" s="5"/>
      <c r="I6" s="5"/>
      <c r="J6" s="5"/>
      <c r="K6" s="5"/>
      <c r="L6" s="5"/>
      <c r="M6" s="5"/>
      <c r="N6" s="5"/>
      <c r="O6" s="5"/>
      <c r="P6" s="5"/>
      <c r="Q6" s="17"/>
      <c r="R6" s="17"/>
      <c r="S6" s="17"/>
      <c r="T6" s="17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20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26" t="s">
        <v>5</v>
      </c>
      <c r="H9" s="127"/>
      <c r="I9" s="127"/>
      <c r="J9" s="128"/>
      <c r="K9" s="9"/>
      <c r="L9" s="126" t="s">
        <v>7</v>
      </c>
      <c r="M9" s="127"/>
      <c r="N9" s="127"/>
      <c r="O9" s="128"/>
      <c r="P9" s="9"/>
      <c r="Q9" s="130" t="s">
        <v>8</v>
      </c>
      <c r="R9" s="131"/>
      <c r="S9" s="131"/>
      <c r="T9" s="132"/>
      <c r="U9" s="9"/>
      <c r="V9" s="126" t="s">
        <v>9</v>
      </c>
      <c r="W9" s="127"/>
      <c r="X9" s="127"/>
      <c r="Y9" s="127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41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17"/>
      <c r="H11" s="5"/>
      <c r="I11" s="5"/>
      <c r="J11" s="5"/>
      <c r="K11" s="5"/>
      <c r="L11" s="5"/>
      <c r="M11" s="5"/>
      <c r="N11" s="5"/>
      <c r="O11" s="5"/>
      <c r="P11" s="5"/>
      <c r="Q11" s="17"/>
      <c r="R11" s="17"/>
      <c r="S11" s="17"/>
      <c r="T11" s="17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17"/>
      <c r="H12" s="5"/>
      <c r="I12" s="5"/>
      <c r="J12" s="5"/>
      <c r="K12" s="5"/>
      <c r="L12" s="5"/>
      <c r="M12" s="5"/>
      <c r="N12" s="5"/>
      <c r="O12" s="5"/>
      <c r="P12" s="5"/>
      <c r="Q12" s="17"/>
      <c r="R12" s="17"/>
      <c r="S12" s="17"/>
      <c r="T12" s="17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315338.09999999998</v>
      </c>
      <c r="H14" s="19">
        <v>966795.04</v>
      </c>
      <c r="I14" s="19">
        <v>3697307</v>
      </c>
      <c r="J14" s="20">
        <f>IF(I14=0,"%",H14/I14)</f>
        <v>0.26148627636276889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19">
        <v>0</v>
      </c>
      <c r="R14" s="19">
        <v>0</v>
      </c>
      <c r="S14" s="19">
        <v>0</v>
      </c>
      <c r="T14" s="20" t="str">
        <f>IF(S14=0,"%",R14/S14)</f>
        <v>%</v>
      </c>
      <c r="U14" s="22"/>
      <c r="V14" s="23">
        <f t="shared" ref="V14:X15" si="1">G14+L14+Q14</f>
        <v>315338.09999999998</v>
      </c>
      <c r="W14" s="23">
        <f t="shared" si="1"/>
        <v>966795.04</v>
      </c>
      <c r="X14" s="23">
        <f t="shared" si="1"/>
        <v>3697307</v>
      </c>
      <c r="Y14" s="8">
        <f>IF(X14=0,"%",W14/X14)</f>
        <v>0.26148627636276889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0</v>
      </c>
      <c r="M15" s="19">
        <v>205554.33</v>
      </c>
      <c r="N15" s="19">
        <v>443225.91000000003</v>
      </c>
      <c r="O15" s="8">
        <f>IF(N15=0,"%",M15/N15)</f>
        <v>0.46376875846450394</v>
      </c>
      <c r="P15" s="26"/>
      <c r="Q15" s="19">
        <v>0</v>
      </c>
      <c r="R15" s="19">
        <v>0</v>
      </c>
      <c r="S15" s="19">
        <v>0</v>
      </c>
      <c r="T15" s="20" t="str">
        <f>IF(S15=0,"%",R15/S15)</f>
        <v>%</v>
      </c>
      <c r="U15" s="26"/>
      <c r="V15" s="23">
        <f t="shared" si="1"/>
        <v>0</v>
      </c>
      <c r="W15" s="23">
        <f t="shared" si="1"/>
        <v>205554.33</v>
      </c>
      <c r="X15" s="23">
        <f t="shared" si="1"/>
        <v>443225.91000000003</v>
      </c>
      <c r="Y15" s="8">
        <f>IF(X15=0,"%",W15/X15)</f>
        <v>0.46376875846450394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19"/>
      <c r="R16" s="19"/>
      <c r="S16" s="19"/>
      <c r="T16" s="20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19">
        <v>0</v>
      </c>
      <c r="R17" s="19">
        <v>0</v>
      </c>
      <c r="S17" s="19">
        <v>0</v>
      </c>
      <c r="T17" s="20" t="str">
        <f t="shared" ref="T17:T22" si="4">IF(S17=0,"%",R17/S17)</f>
        <v>%</v>
      </c>
      <c r="U17" s="26"/>
      <c r="V17" s="23">
        <f t="shared" ref="V17:X22" si="5">G17+L17+Q17</f>
        <v>0</v>
      </c>
      <c r="W17" s="23">
        <f t="shared" si="5"/>
        <v>0</v>
      </c>
      <c r="X17" s="23">
        <f t="shared" si="5"/>
        <v>0</v>
      </c>
      <c r="Y17" s="8" t="str">
        <f t="shared" ref="Y17:Y22" si="6">IF(X17=0,"%",W17/X17)</f>
        <v>%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19">
        <v>0</v>
      </c>
      <c r="R18" s="19">
        <v>0</v>
      </c>
      <c r="S18" s="19">
        <v>0</v>
      </c>
      <c r="T18" s="20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5704.36</v>
      </c>
      <c r="H19" s="19">
        <v>17113.080000000002</v>
      </c>
      <c r="I19" s="19">
        <v>62748</v>
      </c>
      <c r="J19" s="20">
        <f t="shared" si="2"/>
        <v>0.27272709887167723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19">
        <v>0</v>
      </c>
      <c r="R19" s="19">
        <v>0</v>
      </c>
      <c r="S19" s="19">
        <v>0</v>
      </c>
      <c r="T19" s="20" t="str">
        <f t="shared" si="4"/>
        <v>%</v>
      </c>
      <c r="U19" s="26"/>
      <c r="V19" s="23">
        <f t="shared" si="5"/>
        <v>5704.36</v>
      </c>
      <c r="W19" s="23">
        <f t="shared" si="5"/>
        <v>17113.080000000002</v>
      </c>
      <c r="X19" s="23">
        <f t="shared" si="5"/>
        <v>62748</v>
      </c>
      <c r="Y19" s="8">
        <f t="shared" si="6"/>
        <v>0.27272709887167723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50684.27</v>
      </c>
      <c r="H20" s="19">
        <v>152052.81</v>
      </c>
      <c r="I20" s="19">
        <v>557527</v>
      </c>
      <c r="J20" s="20">
        <f t="shared" si="2"/>
        <v>0.27272725805207637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f t="shared" si="5"/>
        <v>50684.27</v>
      </c>
      <c r="W20" s="23">
        <f t="shared" si="5"/>
        <v>152052.81</v>
      </c>
      <c r="X20" s="23">
        <f t="shared" si="5"/>
        <v>557527</v>
      </c>
      <c r="Y20" s="8">
        <f t="shared" si="6"/>
        <v>0.27272725805207637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20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1200</v>
      </c>
      <c r="H22" s="19">
        <v>9300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f t="shared" si="5"/>
        <v>1200</v>
      </c>
      <c r="W22" s="23">
        <f t="shared" si="5"/>
        <v>9300</v>
      </c>
      <c r="X22" s="23">
        <f t="shared" si="5"/>
        <v>0</v>
      </c>
      <c r="Y22" s="8" t="str">
        <f t="shared" si="6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19"/>
      <c r="R23" s="19"/>
      <c r="S23" s="19"/>
      <c r="T23" s="20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19">
        <v>0</v>
      </c>
      <c r="R24" s="19">
        <v>0</v>
      </c>
      <c r="S24" s="19">
        <v>0</v>
      </c>
      <c r="T24" s="20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20273.150000000001</v>
      </c>
      <c r="H25" s="19">
        <v>60194.75</v>
      </c>
      <c r="I25" s="19">
        <v>216133</v>
      </c>
      <c r="J25" s="20">
        <f t="shared" si="2"/>
        <v>0.27850790948166176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19">
        <v>0</v>
      </c>
      <c r="R25" s="19">
        <v>0</v>
      </c>
      <c r="S25" s="19">
        <v>0</v>
      </c>
      <c r="T25" s="20" t="str">
        <f t="shared" si="8"/>
        <v>%</v>
      </c>
      <c r="U25" s="29"/>
      <c r="V25" s="23">
        <f t="shared" si="9"/>
        <v>20273.150000000001</v>
      </c>
      <c r="W25" s="23">
        <f t="shared" si="9"/>
        <v>60194.75</v>
      </c>
      <c r="X25" s="23">
        <f t="shared" si="9"/>
        <v>216133</v>
      </c>
      <c r="Y25" s="8">
        <f t="shared" si="10"/>
        <v>0.27850790948166176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19">
        <v>0</v>
      </c>
      <c r="R26" s="19">
        <v>0</v>
      </c>
      <c r="S26" s="19">
        <v>0</v>
      </c>
      <c r="T26" s="20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19">
        <v>0</v>
      </c>
      <c r="R27" s="19">
        <v>0</v>
      </c>
      <c r="S27" s="19">
        <v>0</v>
      </c>
      <c r="T27" s="20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19">
        <v>0</v>
      </c>
      <c r="R28" s="19">
        <v>0</v>
      </c>
      <c r="S28" s="19">
        <v>0</v>
      </c>
      <c r="T28" s="20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19">
        <v>4426.1499999999996</v>
      </c>
      <c r="R29" s="19">
        <v>6966.65</v>
      </c>
      <c r="S29" s="19">
        <v>0</v>
      </c>
      <c r="T29" s="20" t="str">
        <f t="shared" si="8"/>
        <v>%</v>
      </c>
      <c r="U29" s="29"/>
      <c r="V29" s="23">
        <f t="shared" si="9"/>
        <v>4426.1499999999996</v>
      </c>
      <c r="W29" s="23">
        <f t="shared" si="9"/>
        <v>6966.65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70">
        <f>SUM(G14:G29)</f>
        <v>393199.88</v>
      </c>
      <c r="H30" s="57">
        <f>SUM(H14:H29)</f>
        <v>1205455.68</v>
      </c>
      <c r="I30" s="57">
        <f>SUM(I14:I29)</f>
        <v>4753819</v>
      </c>
      <c r="J30" s="31">
        <f>IF(I30=0,"",H30/I30)</f>
        <v>0.25357626783855253</v>
      </c>
      <c r="K30" s="29"/>
      <c r="L30" s="57">
        <f>SUM(L14:L29)</f>
        <v>0</v>
      </c>
      <c r="M30" s="57">
        <f>SUM(M14:M29)</f>
        <v>205554.33</v>
      </c>
      <c r="N30" s="57">
        <f>SUM(N14:N29)</f>
        <v>443225.91000000003</v>
      </c>
      <c r="O30" s="31">
        <f>IF(N30=0,"",M30/N30)</f>
        <v>0.46376875846450394</v>
      </c>
      <c r="P30" s="29"/>
      <c r="Q30" s="70">
        <f>SUM(Q14:Q29)</f>
        <v>4426.1499999999996</v>
      </c>
      <c r="R30" s="70">
        <f>SUM(R14:R29)</f>
        <v>6966.65</v>
      </c>
      <c r="S30" s="70">
        <f>SUM(S14:S29)</f>
        <v>0</v>
      </c>
      <c r="T30" s="150" t="str">
        <f>IF(S30=0,"",R30/S30)</f>
        <v/>
      </c>
      <c r="U30" s="29"/>
      <c r="V30" s="57">
        <f>SUM(V14:V29)</f>
        <v>397626.03</v>
      </c>
      <c r="W30" s="57">
        <f>SUM(W14:W29)</f>
        <v>1417976.6600000001</v>
      </c>
      <c r="X30" s="57">
        <f>SUM(X14:X29)</f>
        <v>5197044.91</v>
      </c>
      <c r="Y30" s="31">
        <f>IF(X30=0,"",W30/X30)</f>
        <v>0.27284287216213415</v>
      </c>
    </row>
    <row r="31" spans="1:25" x14ac:dyDescent="0.2">
      <c r="A31" s="45"/>
      <c r="B31" s="46"/>
      <c r="C31" s="5"/>
      <c r="D31" s="5"/>
      <c r="E31" s="5"/>
      <c r="F31" s="5"/>
      <c r="G31" s="28"/>
      <c r="H31" s="29"/>
      <c r="I31" s="29"/>
      <c r="J31" s="8"/>
      <c r="K31" s="29"/>
      <c r="L31" s="29"/>
      <c r="M31" s="29"/>
      <c r="N31" s="29"/>
      <c r="O31" s="8"/>
      <c r="P31" s="29"/>
      <c r="Q31" s="28"/>
      <c r="R31" s="28"/>
      <c r="S31" s="28"/>
      <c r="T31" s="20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8"/>
      <c r="H32" s="29"/>
      <c r="I32" s="29"/>
      <c r="J32" s="8"/>
      <c r="K32" s="29"/>
      <c r="L32" s="29"/>
      <c r="M32" s="29"/>
      <c r="N32" s="29"/>
      <c r="O32" s="8"/>
      <c r="P32" s="29"/>
      <c r="Q32" s="28"/>
      <c r="R32" s="28"/>
      <c r="S32" s="28"/>
      <c r="T32" s="20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8"/>
      <c r="H33" s="29"/>
      <c r="I33" s="29"/>
      <c r="J33" s="8"/>
      <c r="K33" s="29"/>
      <c r="L33" s="29"/>
      <c r="M33" s="29"/>
      <c r="N33" s="29"/>
      <c r="O33" s="8"/>
      <c r="P33" s="29"/>
      <c r="Q33" s="28"/>
      <c r="R33" s="28"/>
      <c r="S33" s="28"/>
      <c r="T33" s="20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f>214253.42+35197.04</f>
        <v>249450.46000000002</v>
      </c>
      <c r="H34" s="19">
        <f>452774.25+59355.86</f>
        <v>512130.11</v>
      </c>
      <c r="I34" s="19">
        <v>3332046.25</v>
      </c>
      <c r="J34" s="8">
        <f t="shared" ref="J34:J49" si="11">IF(I34=0,"%",H34/I34)</f>
        <v>0.15369837978689521</v>
      </c>
      <c r="K34" s="29"/>
      <c r="L34" s="19">
        <v>12541.710000000001</v>
      </c>
      <c r="M34" s="19">
        <v>74802.89</v>
      </c>
      <c r="N34" s="19">
        <v>187085.98</v>
      </c>
      <c r="O34" s="8">
        <f t="shared" ref="O34:O48" si="12">IF(N34=0,"%",M34/N34)</f>
        <v>0.39983161752687185</v>
      </c>
      <c r="P34" s="29"/>
      <c r="Q34" s="19">
        <v>0</v>
      </c>
      <c r="R34" s="19">
        <v>0</v>
      </c>
      <c r="S34" s="19">
        <v>0</v>
      </c>
      <c r="T34" s="20" t="str">
        <f t="shared" ref="T34:T49" si="13">IF(S34=0,"%",R34/S34)</f>
        <v>%</v>
      </c>
      <c r="U34" s="29"/>
      <c r="V34" s="23">
        <f t="shared" ref="V34:V49" si="14">G34+L34+Q34</f>
        <v>261992.17</v>
      </c>
      <c r="W34" s="23">
        <f t="shared" ref="W34:W49" si="15">H34+M34+R34</f>
        <v>586933</v>
      </c>
      <c r="X34" s="23">
        <f t="shared" ref="X34:X49" si="16">I34+N34+S34</f>
        <v>3519132.23</v>
      </c>
      <c r="Y34" s="8">
        <f t="shared" ref="Y34:Y48" si="17">IF(X34=0,"%",W34/X34)</f>
        <v>0.16678344592922556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12012.15</v>
      </c>
      <c r="H35" s="19">
        <v>23972.579999999998</v>
      </c>
      <c r="I35" s="19">
        <v>159751.13</v>
      </c>
      <c r="J35" s="8">
        <f t="shared" si="11"/>
        <v>0.1500620371198626</v>
      </c>
      <c r="K35" s="29"/>
      <c r="L35" s="19">
        <v>20189.310000000001</v>
      </c>
      <c r="M35" s="19">
        <v>116878.16999999998</v>
      </c>
      <c r="N35" s="19">
        <v>256139.93</v>
      </c>
      <c r="O35" s="8">
        <f t="shared" si="12"/>
        <v>0.45630593402598335</v>
      </c>
      <c r="P35" s="29"/>
      <c r="Q35" s="19">
        <v>0</v>
      </c>
      <c r="R35" s="19">
        <v>0</v>
      </c>
      <c r="S35" s="19">
        <v>0</v>
      </c>
      <c r="T35" s="20" t="str">
        <f t="shared" si="13"/>
        <v>%</v>
      </c>
      <c r="U35" s="29"/>
      <c r="V35" s="23">
        <f t="shared" si="14"/>
        <v>32201.46</v>
      </c>
      <c r="W35" s="23">
        <f t="shared" si="15"/>
        <v>140850.74999999997</v>
      </c>
      <c r="X35" s="23">
        <f t="shared" si="16"/>
        <v>415891.06</v>
      </c>
      <c r="Y35" s="8">
        <f t="shared" si="17"/>
        <v>0.33867222344236003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9000</v>
      </c>
      <c r="H36" s="19">
        <v>9000</v>
      </c>
      <c r="I36" s="19">
        <v>13750</v>
      </c>
      <c r="J36" s="8">
        <f t="shared" si="11"/>
        <v>0.65454545454545454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19">
        <v>0</v>
      </c>
      <c r="R36" s="19">
        <v>0</v>
      </c>
      <c r="S36" s="19">
        <v>0</v>
      </c>
      <c r="T36" s="20" t="str">
        <f t="shared" si="13"/>
        <v>%</v>
      </c>
      <c r="U36" s="29"/>
      <c r="V36" s="23">
        <f t="shared" si="14"/>
        <v>9000</v>
      </c>
      <c r="W36" s="23">
        <f t="shared" si="15"/>
        <v>9000</v>
      </c>
      <c r="X36" s="23">
        <f t="shared" si="16"/>
        <v>13750</v>
      </c>
      <c r="Y36" s="8">
        <f t="shared" si="17"/>
        <v>0.65454545454545454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19">
        <v>0</v>
      </c>
      <c r="R37" s="19">
        <v>0</v>
      </c>
      <c r="S37" s="19">
        <v>0</v>
      </c>
      <c r="T37" s="20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37814.660000000003</v>
      </c>
      <c r="H38" s="19">
        <v>111532.64000000001</v>
      </c>
      <c r="I38" s="19">
        <v>420309.52999999991</v>
      </c>
      <c r="J38" s="8">
        <f t="shared" si="11"/>
        <v>0.26535834198191993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19">
        <v>0</v>
      </c>
      <c r="R38" s="19">
        <v>0</v>
      </c>
      <c r="S38" s="19">
        <v>0</v>
      </c>
      <c r="T38" s="20" t="str">
        <f t="shared" si="13"/>
        <v>%</v>
      </c>
      <c r="U38" s="29"/>
      <c r="V38" s="23">
        <f t="shared" si="14"/>
        <v>37814.660000000003</v>
      </c>
      <c r="W38" s="23">
        <f t="shared" si="15"/>
        <v>111532.64000000001</v>
      </c>
      <c r="X38" s="23">
        <f t="shared" si="16"/>
        <v>420309.52999999991</v>
      </c>
      <c r="Y38" s="8">
        <f t="shared" si="17"/>
        <v>0.26535834198191993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19">
        <v>0</v>
      </c>
      <c r="R39" s="19">
        <v>0</v>
      </c>
      <c r="S39" s="19">
        <v>0</v>
      </c>
      <c r="T39" s="20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1890.27</v>
      </c>
      <c r="H40" s="19">
        <v>5756.73</v>
      </c>
      <c r="I40" s="19">
        <v>21021</v>
      </c>
      <c r="J40" s="8">
        <f t="shared" si="11"/>
        <v>0.27385614385614382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19">
        <v>0</v>
      </c>
      <c r="R40" s="19">
        <v>0</v>
      </c>
      <c r="S40" s="19">
        <v>0</v>
      </c>
      <c r="T40" s="20" t="str">
        <f t="shared" si="13"/>
        <v>%</v>
      </c>
      <c r="U40" s="29"/>
      <c r="V40" s="23">
        <f t="shared" si="14"/>
        <v>1890.27</v>
      </c>
      <c r="W40" s="23">
        <f t="shared" si="15"/>
        <v>5756.73</v>
      </c>
      <c r="X40" s="23">
        <f t="shared" si="16"/>
        <v>21021</v>
      </c>
      <c r="Y40" s="8">
        <f t="shared" si="17"/>
        <v>0.27385614385614382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19">
        <v>0</v>
      </c>
      <c r="R41" s="19">
        <v>0</v>
      </c>
      <c r="S41" s="19">
        <v>0</v>
      </c>
      <c r="T41" s="20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19">
        <v>0</v>
      </c>
      <c r="R42" s="19">
        <v>0</v>
      </c>
      <c r="S42" s="19">
        <v>0</v>
      </c>
      <c r="T42" s="20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19">
        <v>0</v>
      </c>
      <c r="R43" s="19">
        <v>0</v>
      </c>
      <c r="S43" s="19">
        <v>0</v>
      </c>
      <c r="T43" s="20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31829.410000000003</v>
      </c>
      <c r="H44" s="19">
        <v>113795.51</v>
      </c>
      <c r="I44" s="19">
        <v>286561.95</v>
      </c>
      <c r="J44" s="8">
        <f t="shared" si="11"/>
        <v>0.39710614057449006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19">
        <v>0</v>
      </c>
      <c r="R44" s="19">
        <v>0</v>
      </c>
      <c r="S44" s="19">
        <v>0</v>
      </c>
      <c r="T44" s="20" t="str">
        <f t="shared" si="13"/>
        <v>%</v>
      </c>
      <c r="U44" s="29"/>
      <c r="V44" s="23">
        <f t="shared" si="14"/>
        <v>31829.410000000003</v>
      </c>
      <c r="W44" s="23">
        <f t="shared" si="15"/>
        <v>113795.51</v>
      </c>
      <c r="X44" s="23">
        <f t="shared" si="16"/>
        <v>286561.95</v>
      </c>
      <c r="Y44" s="8">
        <f t="shared" si="17"/>
        <v>0.39710614057449006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19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19">
        <v>0</v>
      </c>
      <c r="R45" s="19">
        <v>0</v>
      </c>
      <c r="S45" s="19">
        <v>0</v>
      </c>
      <c r="T45" s="20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19">
        <v>0</v>
      </c>
      <c r="H46" s="23">
        <v>0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19">
        <v>0</v>
      </c>
      <c r="R46" s="19">
        <v>0</v>
      </c>
      <c r="S46" s="19">
        <v>0</v>
      </c>
      <c r="T46" s="20" t="str">
        <f t="shared" si="13"/>
        <v>%</v>
      </c>
      <c r="U46" s="29"/>
      <c r="V46" s="23">
        <f t="shared" si="14"/>
        <v>0</v>
      </c>
      <c r="W46" s="23">
        <f t="shared" si="15"/>
        <v>0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19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19">
        <v>0</v>
      </c>
      <c r="R47" s="19">
        <v>0</v>
      </c>
      <c r="S47" s="19">
        <v>0</v>
      </c>
      <c r="T47" s="20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19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19">
        <v>0</v>
      </c>
      <c r="R48" s="19">
        <v>0</v>
      </c>
      <c r="S48" s="19">
        <v>0</v>
      </c>
      <c r="T48" s="20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19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19">
        <v>5686.71</v>
      </c>
      <c r="R49" s="19">
        <v>18909.669999999998</v>
      </c>
      <c r="S49" s="19">
        <v>0</v>
      </c>
      <c r="T49" s="20" t="str">
        <f t="shared" si="13"/>
        <v>%</v>
      </c>
      <c r="U49" s="29"/>
      <c r="V49" s="23">
        <f t="shared" si="14"/>
        <v>5686.71</v>
      </c>
      <c r="W49" s="23">
        <f t="shared" si="15"/>
        <v>18909.669999999998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0">
        <f>SUM(G34:G49)</f>
        <v>341996.95000000007</v>
      </c>
      <c r="H50" s="70">
        <f>SUM(H34:H49)</f>
        <v>776187.57</v>
      </c>
      <c r="I50" s="57">
        <f>SUM(I34:I48)</f>
        <v>4233439.8599999994</v>
      </c>
      <c r="J50" s="31">
        <f>IF(I50=0,"",H50/I50)</f>
        <v>0.1833467807902201</v>
      </c>
      <c r="K50" s="29"/>
      <c r="L50" s="57">
        <f>SUM(L34:L49)</f>
        <v>32731.020000000004</v>
      </c>
      <c r="M50" s="57">
        <f>SUM(M34:M49)</f>
        <v>191681.06</v>
      </c>
      <c r="N50" s="57">
        <f>SUM(N34:N48)</f>
        <v>443225.91000000003</v>
      </c>
      <c r="O50" s="31">
        <f>IF(N50=0,"",M50/N50)</f>
        <v>0.43246808382659757</v>
      </c>
      <c r="P50" s="29"/>
      <c r="Q50" s="70">
        <f>SUM(Q34:Q49)</f>
        <v>5686.71</v>
      </c>
      <c r="R50" s="70">
        <f>SUM(R34:R49)</f>
        <v>18909.669999999998</v>
      </c>
      <c r="S50" s="70">
        <f>SUM(S34:S49)</f>
        <v>0</v>
      </c>
      <c r="T50" s="150" t="str">
        <f>IF(S50=0,"",R50/S50)</f>
        <v/>
      </c>
      <c r="U50" s="29"/>
      <c r="V50" s="57">
        <f>SUM(V34:V49)</f>
        <v>380414.68000000011</v>
      </c>
      <c r="W50" s="57">
        <f>SUM(W34:W49)</f>
        <v>986778.3</v>
      </c>
      <c r="X50" s="57">
        <f>SUM(X34:X49)</f>
        <v>4676665.7700000005</v>
      </c>
      <c r="Y50" s="31">
        <f>IF(X50=0,"",W50/X50)</f>
        <v>0.211000389707131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146">
        <f>G30-G50</f>
        <v>51202.929999999935</v>
      </c>
      <c r="H51" s="58">
        <f>H30-H50</f>
        <v>429268.11</v>
      </c>
      <c r="I51" s="58">
        <f>I30-I50</f>
        <v>520379.1400000006</v>
      </c>
      <c r="J51" s="31">
        <f>IF(I51=0,"",H51/I51)</f>
        <v>0.82491413856443108</v>
      </c>
      <c r="K51" s="29"/>
      <c r="L51" s="58">
        <f>L30-L50</f>
        <v>-32731.020000000004</v>
      </c>
      <c r="M51" s="58">
        <f>M30-M50</f>
        <v>13873.26999999999</v>
      </c>
      <c r="N51" s="58">
        <f>N30-N50</f>
        <v>0</v>
      </c>
      <c r="O51" s="31" t="str">
        <f>IF(N51=0,"",M51/N51)</f>
        <v/>
      </c>
      <c r="P51" s="29"/>
      <c r="Q51" s="146">
        <f>Q30-Q50</f>
        <v>-1260.5600000000004</v>
      </c>
      <c r="R51" s="146">
        <f>R30-R50</f>
        <v>-11943.019999999999</v>
      </c>
      <c r="S51" s="146">
        <f>S30-S50</f>
        <v>0</v>
      </c>
      <c r="T51" s="150" t="str">
        <f>IF(S51=0,"",R51/S51)</f>
        <v/>
      </c>
      <c r="U51" s="29"/>
      <c r="V51" s="58">
        <f>V30-V50</f>
        <v>17211.349999999919</v>
      </c>
      <c r="W51" s="58">
        <f>W30-W50</f>
        <v>431198.3600000001</v>
      </c>
      <c r="X51" s="58">
        <f>X30-X50</f>
        <v>520379.13999999966</v>
      </c>
      <c r="Y51" s="31">
        <f>IF(X51=0,"",W51/X51)</f>
        <v>0.82862345327677889</v>
      </c>
    </row>
    <row r="52" spans="1:25" x14ac:dyDescent="0.2">
      <c r="A52" s="45"/>
      <c r="B52" s="46"/>
      <c r="C52" s="5"/>
      <c r="D52" s="5"/>
      <c r="E52" s="5"/>
      <c r="F52" s="5"/>
      <c r="G52" s="28"/>
      <c r="H52" s="29"/>
      <c r="I52" s="29"/>
      <c r="J52" s="8"/>
      <c r="K52" s="29"/>
      <c r="L52" s="29"/>
      <c r="M52" s="29"/>
      <c r="N52" s="29"/>
      <c r="O52" s="8"/>
      <c r="P52" s="29"/>
      <c r="Q52" s="28"/>
      <c r="R52" s="28"/>
      <c r="S52" s="28"/>
      <c r="T52" s="20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8"/>
      <c r="H53" s="29"/>
      <c r="I53" s="29"/>
      <c r="J53" s="8"/>
      <c r="K53" s="29"/>
      <c r="L53" s="29"/>
      <c r="M53" s="29"/>
      <c r="N53" s="29"/>
      <c r="O53" s="8"/>
      <c r="P53" s="29"/>
      <c r="Q53" s="28"/>
      <c r="R53" s="28"/>
      <c r="S53" s="28"/>
      <c r="T53" s="20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7">
        <v>0</v>
      </c>
      <c r="H54" s="66">
        <v>0</v>
      </c>
      <c r="I54" s="59">
        <v>50176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7"/>
      <c r="R54" s="67"/>
      <c r="S54" s="68"/>
      <c r="T54" s="20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50176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36964.5</v>
      </c>
      <c r="H55" s="19">
        <v>108364.63</v>
      </c>
      <c r="I55" s="19">
        <v>570554.80000000005</v>
      </c>
      <c r="J55" s="8">
        <f>IF(I55=0,"%",H55/I55)</f>
        <v>0.18992852220330106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7"/>
      <c r="R55" s="67"/>
      <c r="S55" s="68"/>
      <c r="T55" s="20" t="str">
        <f>IF(S55=0,"%",R55/S55)</f>
        <v>%</v>
      </c>
      <c r="U55" s="29"/>
      <c r="V55" s="66">
        <f t="shared" si="18"/>
        <v>36964.5</v>
      </c>
      <c r="W55" s="66">
        <f t="shared" si="18"/>
        <v>108364.63</v>
      </c>
      <c r="X55" s="59">
        <f t="shared" si="18"/>
        <v>570554.80000000005</v>
      </c>
      <c r="Y55" s="8">
        <f>IF(X55=0,"%",W55/X55)</f>
        <v>0.18992852220330106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70">
        <f>SUM(G54:G55)</f>
        <v>36964.5</v>
      </c>
      <c r="H56" s="57">
        <f>H54-H55</f>
        <v>-108364.63</v>
      </c>
      <c r="I56" s="57">
        <f>SUM(I54:I55)</f>
        <v>620730.80000000005</v>
      </c>
      <c r="J56" s="31">
        <f>IF(I56=0,"",H56/I56)</f>
        <v>-0.17457588700286822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70">
        <f>SUM(Q54:Q55)</f>
        <v>0</v>
      </c>
      <c r="R56" s="70">
        <f>SUM(R54:R55)</f>
        <v>0</v>
      </c>
      <c r="S56" s="70">
        <f>SUM(S54:S55)</f>
        <v>0</v>
      </c>
      <c r="T56" s="150" t="str">
        <f>IF(S56=0,"",R56/S56)</f>
        <v/>
      </c>
      <c r="U56" s="29"/>
      <c r="V56" s="57">
        <f>SUM(V54:V55)</f>
        <v>36964.5</v>
      </c>
      <c r="W56" s="57">
        <f>W54-W55</f>
        <v>-108364.63</v>
      </c>
      <c r="X56" s="57">
        <f>SUM(X54:X55)</f>
        <v>620730.80000000005</v>
      </c>
      <c r="Y56" s="31">
        <f>IF(X56=0,"",W56/X56)</f>
        <v>-0.17457588700286822</v>
      </c>
    </row>
    <row r="57" spans="1:25" x14ac:dyDescent="0.2">
      <c r="A57" s="45"/>
      <c r="B57" s="46"/>
      <c r="C57" s="5"/>
      <c r="D57" s="5"/>
      <c r="E57" s="5"/>
      <c r="F57" s="5"/>
      <c r="G57" s="28"/>
      <c r="H57" s="29"/>
      <c r="I57" s="29"/>
      <c r="J57" s="8"/>
      <c r="K57" s="29"/>
      <c r="L57" s="29"/>
      <c r="M57" s="29"/>
      <c r="N57" s="29"/>
      <c r="O57" s="8"/>
      <c r="P57" s="29"/>
      <c r="Q57" s="28"/>
      <c r="R57" s="28"/>
      <c r="S57" s="28"/>
      <c r="T57" s="20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68"/>
      <c r="H58" s="59">
        <f>H51+H56</f>
        <v>320903.48</v>
      </c>
      <c r="I58" s="59"/>
      <c r="J58" s="60" t="str">
        <f>IF(I58=0,"",H58/I58)</f>
        <v/>
      </c>
      <c r="K58" s="59"/>
      <c r="L58" s="59"/>
      <c r="M58" s="59">
        <f>M30-M50+M56</f>
        <v>13873.26999999999</v>
      </c>
      <c r="N58" s="59"/>
      <c r="O58" s="59"/>
      <c r="P58" s="59"/>
      <c r="Q58" s="68"/>
      <c r="R58" s="68">
        <f>R30-R50+R56</f>
        <v>-11943.019999999999</v>
      </c>
      <c r="S58" s="68">
        <f>S30-S50+S56</f>
        <v>0</v>
      </c>
      <c r="T58" s="68"/>
      <c r="U58" s="59">
        <f>U30-U50+U56</f>
        <v>0</v>
      </c>
      <c r="V58" s="59"/>
      <c r="W58" s="59">
        <f>W30-W50+W56</f>
        <v>322833.7300000001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68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68"/>
      <c r="R59" s="68"/>
      <c r="S59" s="68"/>
      <c r="T59" s="152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4"/>
      <c r="F60" s="5"/>
      <c r="G60" s="68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68"/>
      <c r="R60" s="68"/>
      <c r="S60" s="68"/>
      <c r="T60" s="152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70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70">
        <f>SUM(Q59:Q60)</f>
        <v>0</v>
      </c>
      <c r="R61" s="70">
        <f>SUM(R59:R60)</f>
        <v>0</v>
      </c>
      <c r="S61" s="70">
        <f>SUM(S59:S60)</f>
        <v>0</v>
      </c>
      <c r="T61" s="153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8"/>
      <c r="H62" s="29"/>
      <c r="I62" s="29"/>
      <c r="J62" s="8"/>
      <c r="K62" s="29"/>
      <c r="L62" s="29"/>
      <c r="M62" s="29"/>
      <c r="N62" s="29"/>
      <c r="O62" s="8"/>
      <c r="P62" s="29"/>
      <c r="Q62" s="28"/>
      <c r="R62" s="28"/>
      <c r="S62" s="28"/>
      <c r="T62" s="20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19">
        <f>G61+G58</f>
        <v>0</v>
      </c>
      <c r="H63" s="23">
        <f>H61+H58</f>
        <v>320903.48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13873.26999999999</v>
      </c>
      <c r="N63" s="23">
        <f>N61+N58</f>
        <v>0</v>
      </c>
      <c r="O63" s="8" t="str">
        <f>IF(N63=0,"%",M63/N63)</f>
        <v>%</v>
      </c>
      <c r="P63" s="29"/>
      <c r="Q63" s="19">
        <f>Q61+Q58</f>
        <v>0</v>
      </c>
      <c r="R63" s="19">
        <f>R61+R58</f>
        <v>-11943.019999999999</v>
      </c>
      <c r="S63" s="19">
        <f>S61+S58</f>
        <v>0</v>
      </c>
      <c r="T63" s="20" t="str">
        <f>IF(S63=0,"%",R63/S63)</f>
        <v>%</v>
      </c>
      <c r="U63" s="29"/>
      <c r="V63" s="23">
        <f>V61+V58</f>
        <v>0</v>
      </c>
      <c r="W63" s="23">
        <f>W61+W58</f>
        <v>322833.7300000001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17"/>
      <c r="H64" s="5"/>
      <c r="I64" s="5"/>
      <c r="J64" s="5"/>
      <c r="K64" s="5"/>
      <c r="L64" s="5"/>
      <c r="M64" s="5"/>
      <c r="N64" s="5"/>
      <c r="O64" s="5"/>
      <c r="P64" s="5"/>
      <c r="Q64" s="17"/>
      <c r="R64" s="17"/>
      <c r="S64" s="17"/>
      <c r="T64" s="17"/>
      <c r="U64" s="5"/>
      <c r="V64" s="5"/>
      <c r="W64" s="5"/>
      <c r="X64" s="5"/>
      <c r="Y64" s="5" t="s">
        <v>81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 codeName="Sheet2">
    <pageSetUpPr fitToPage="1"/>
  </sheetPr>
  <dimension ref="A1:Z67"/>
  <sheetViews>
    <sheetView topLeftCell="C1" zoomScale="70" zoomScaleNormal="70" zoomScaleSheetLayoutView="50" zoomScalePageLayoutView="40" workbookViewId="0">
      <selection activeCell="Q18" sqref="Q18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18.5703125" style="149" bestFit="1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7.8554687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3.42578125" style="149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5" t="s">
        <v>51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6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6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6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6" ht="23.25" x14ac:dyDescent="0.35">
      <c r="A5" s="3"/>
      <c r="B5" s="3"/>
      <c r="C5" s="52"/>
      <c r="D5" s="52"/>
      <c r="E5" s="52"/>
      <c r="F5" s="52"/>
      <c r="G5" s="145"/>
      <c r="H5" s="52"/>
      <c r="I5" s="52"/>
      <c r="J5" s="52"/>
      <c r="K5" s="52"/>
      <c r="L5" s="52"/>
      <c r="M5" s="52"/>
      <c r="N5" s="52"/>
      <c r="O5" s="52"/>
      <c r="P5" s="52"/>
      <c r="Q5" s="145"/>
      <c r="R5" s="145"/>
      <c r="S5" s="145"/>
      <c r="T5" s="145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145"/>
      <c r="H6" s="52"/>
      <c r="I6" s="52"/>
      <c r="J6" s="52"/>
      <c r="K6" s="52"/>
      <c r="L6" s="52"/>
      <c r="M6" s="52"/>
      <c r="N6" s="52"/>
      <c r="O6" s="52"/>
      <c r="P6" s="52"/>
      <c r="Q6" s="145"/>
      <c r="R6" s="145"/>
      <c r="S6" s="145"/>
      <c r="T6" s="145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20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17"/>
      <c r="R10" s="17"/>
      <c r="S10" s="17"/>
      <c r="T10" s="17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6" t="s">
        <v>5</v>
      </c>
      <c r="H11" s="127"/>
      <c r="I11" s="127"/>
      <c r="J11" s="128"/>
      <c r="K11" s="9"/>
      <c r="L11" s="126" t="s">
        <v>7</v>
      </c>
      <c r="M11" s="127"/>
      <c r="N11" s="127"/>
      <c r="O11" s="128"/>
      <c r="P11" s="9"/>
      <c r="Q11" s="130" t="s">
        <v>8</v>
      </c>
      <c r="R11" s="131"/>
      <c r="S11" s="131"/>
      <c r="T11" s="132"/>
      <c r="U11" s="9"/>
      <c r="V11" s="126" t="s">
        <v>9</v>
      </c>
      <c r="W11" s="127"/>
      <c r="X11" s="127"/>
      <c r="Y11" s="129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17"/>
      <c r="H13" s="5"/>
      <c r="I13" s="5"/>
      <c r="J13" s="5"/>
      <c r="K13" s="5"/>
      <c r="L13" s="5"/>
      <c r="M13" s="5"/>
      <c r="N13" s="5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17"/>
      <c r="H14" s="5"/>
      <c r="I14" s="5"/>
      <c r="J14" s="5"/>
      <c r="K14" s="5"/>
      <c r="L14" s="5"/>
      <c r="M14" s="5"/>
      <c r="N14" s="5"/>
      <c r="O14" s="5"/>
      <c r="P14" s="5"/>
      <c r="Q14" s="17"/>
      <c r="R14" s="17"/>
      <c r="S14" s="17"/>
      <c r="T14" s="17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17"/>
      <c r="R15" s="17"/>
      <c r="S15" s="17"/>
      <c r="T15" s="17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64038.38</v>
      </c>
      <c r="N17" s="19">
        <v>378822.74</v>
      </c>
      <c r="O17" s="8">
        <f>IF(N17=0,"%",M17/N17)</f>
        <v>0.16904576530965379</v>
      </c>
      <c r="P17" s="26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6"/>
      <c r="V17" s="23">
        <f t="shared" si="1"/>
        <v>0</v>
      </c>
      <c r="W17" s="23">
        <f t="shared" si="1"/>
        <v>64038.38</v>
      </c>
      <c r="X17" s="23">
        <f t="shared" si="1"/>
        <v>378822.74</v>
      </c>
      <c r="Y17" s="8">
        <f>IF(X17=0,"%",W17/X17)</f>
        <v>0.16904576530965379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19"/>
      <c r="R18" s="19"/>
      <c r="S18" s="19"/>
      <c r="T18" s="20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400468.85</v>
      </c>
      <c r="H19" s="19">
        <v>1227805.0900000001</v>
      </c>
      <c r="I19" s="19">
        <v>4509675</v>
      </c>
      <c r="J19" s="20">
        <f t="shared" si="2"/>
        <v>0.27226021609096002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6"/>
      <c r="V19" s="23">
        <f t="shared" ref="V19:X24" si="5">G19+L19+Q19</f>
        <v>400468.85</v>
      </c>
      <c r="W19" s="23">
        <f t="shared" si="5"/>
        <v>1227805.0900000001</v>
      </c>
      <c r="X19" s="23">
        <f t="shared" si="5"/>
        <v>4509675</v>
      </c>
      <c r="Y19" s="8">
        <f t="shared" ref="Y19:Y31" si="6">IF(X19=0,"%",W19/X19)</f>
        <v>0.27226021609096002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5590.45</v>
      </c>
      <c r="H21" s="19">
        <v>16771.349999999999</v>
      </c>
      <c r="I21" s="19">
        <v>61495</v>
      </c>
      <c r="J21" s="20">
        <f t="shared" si="2"/>
        <v>0.27272705097975442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20" t="str">
        <f t="shared" si="4"/>
        <v>%</v>
      </c>
      <c r="U21" s="26"/>
      <c r="V21" s="23">
        <f t="shared" si="5"/>
        <v>5590.45</v>
      </c>
      <c r="W21" s="23">
        <f t="shared" si="5"/>
        <v>16771.349999999999</v>
      </c>
      <c r="X21" s="23">
        <f t="shared" si="5"/>
        <v>61495</v>
      </c>
      <c r="Y21" s="8">
        <f t="shared" si="6"/>
        <v>0.27272705097975442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64359.18</v>
      </c>
      <c r="H22" s="19">
        <v>193077.54</v>
      </c>
      <c r="I22" s="19">
        <v>678615</v>
      </c>
      <c r="J22" s="20">
        <f t="shared" si="2"/>
        <v>0.28451705311553682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f t="shared" si="5"/>
        <v>64359.18</v>
      </c>
      <c r="W22" s="23">
        <f t="shared" si="5"/>
        <v>193077.54</v>
      </c>
      <c r="X22" s="23">
        <f t="shared" si="5"/>
        <v>678615</v>
      </c>
      <c r="Y22" s="8">
        <f t="shared" si="6"/>
        <v>0.28451705311553682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19">
        <v>0</v>
      </c>
      <c r="R23" s="19">
        <v>0</v>
      </c>
      <c r="S23" s="19">
        <v>0</v>
      </c>
      <c r="T23" s="20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1200</v>
      </c>
      <c r="H24" s="19">
        <v>12300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19">
        <v>0</v>
      </c>
      <c r="R24" s="19">
        <v>0</v>
      </c>
      <c r="S24" s="19">
        <v>0</v>
      </c>
      <c r="T24" s="20" t="str">
        <f t="shared" si="4"/>
        <v>%</v>
      </c>
      <c r="U24" s="26"/>
      <c r="V24" s="23">
        <f t="shared" si="5"/>
        <v>1200</v>
      </c>
      <c r="W24" s="23">
        <f t="shared" si="5"/>
        <v>12300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23"/>
      <c r="I25" s="19"/>
      <c r="J25" s="20"/>
      <c r="K25" s="17"/>
      <c r="L25" s="19"/>
      <c r="M25" s="19"/>
      <c r="N25" s="19"/>
      <c r="O25" s="8"/>
      <c r="P25" s="5"/>
      <c r="Q25" s="19"/>
      <c r="R25" s="19"/>
      <c r="S25" s="19"/>
      <c r="T25" s="20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26025.73</v>
      </c>
      <c r="H27" s="19">
        <v>77275.19</v>
      </c>
      <c r="I27" s="19">
        <v>265840</v>
      </c>
      <c r="J27" s="20">
        <f t="shared" si="2"/>
        <v>0.29068308004814924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19">
        <v>0</v>
      </c>
      <c r="R27" s="19">
        <v>0</v>
      </c>
      <c r="S27" s="19">
        <v>0</v>
      </c>
      <c r="T27" s="20" t="str">
        <f t="shared" si="8"/>
        <v>%</v>
      </c>
      <c r="U27" s="29"/>
      <c r="V27" s="23">
        <f t="shared" si="9"/>
        <v>26025.73</v>
      </c>
      <c r="W27" s="23">
        <f t="shared" si="9"/>
        <v>77275.19</v>
      </c>
      <c r="X27" s="23">
        <f t="shared" si="9"/>
        <v>265840</v>
      </c>
      <c r="Y27" s="8">
        <f t="shared" si="6"/>
        <v>0.29068308004814924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19">
        <v>0</v>
      </c>
      <c r="R28" s="19">
        <v>0</v>
      </c>
      <c r="S28" s="19">
        <v>0</v>
      </c>
      <c r="T28" s="20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19">
        <v>0</v>
      </c>
      <c r="R29" s="19">
        <v>0</v>
      </c>
      <c r="S29" s="19">
        <v>0</v>
      </c>
      <c r="T29" s="20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6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193566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19">
        <v>0</v>
      </c>
      <c r="T30" s="20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193566</v>
      </c>
      <c r="Y30" s="8">
        <f t="shared" si="6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3978.36</v>
      </c>
      <c r="R31" s="19">
        <v>9612.67</v>
      </c>
      <c r="S31" s="19">
        <v>0</v>
      </c>
      <c r="T31" s="20" t="str">
        <f t="shared" si="8"/>
        <v>%</v>
      </c>
      <c r="U31" s="29"/>
      <c r="V31" s="23">
        <f t="shared" si="9"/>
        <v>3978.36</v>
      </c>
      <c r="W31" s="23">
        <f t="shared" si="9"/>
        <v>9612.67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70">
        <f>SUM(G16:G31)</f>
        <v>497644.20999999996</v>
      </c>
      <c r="H32" s="57">
        <f>SUM(H16:H31)</f>
        <v>1527229.1700000002</v>
      </c>
      <c r="I32" s="57">
        <f>SUM(I16:I31)</f>
        <v>5709191</v>
      </c>
      <c r="J32" s="31">
        <f>IF(I32=0,"",H32/I32)</f>
        <v>0.26750360427598241</v>
      </c>
      <c r="K32" s="29"/>
      <c r="L32" s="57">
        <f>SUM(L16:L31)</f>
        <v>0</v>
      </c>
      <c r="M32" s="57">
        <f>SUM(M16:M31)</f>
        <v>64038.38</v>
      </c>
      <c r="N32" s="57">
        <f>SUM(N16:N31)</f>
        <v>378822.74</v>
      </c>
      <c r="O32" s="31">
        <f>IF(N32=0,"",M32/N32)</f>
        <v>0.16904576530965379</v>
      </c>
      <c r="P32" s="29"/>
      <c r="Q32" s="70">
        <f>SUM(Q16:Q31)</f>
        <v>3978.36</v>
      </c>
      <c r="R32" s="70">
        <f>SUM(R16:R31)</f>
        <v>9612.67</v>
      </c>
      <c r="S32" s="70">
        <f>SUM(S16:S31)</f>
        <v>0</v>
      </c>
      <c r="T32" s="150" t="str">
        <f>IF(S32=0,"",R32/S32)</f>
        <v/>
      </c>
      <c r="U32" s="29"/>
      <c r="V32" s="57">
        <f>SUM(V16:V31)</f>
        <v>501622.56999999995</v>
      </c>
      <c r="W32" s="57">
        <f>SUM(W16:W31)</f>
        <v>1600880.22</v>
      </c>
      <c r="X32" s="57">
        <f>SUM(X16:X31)</f>
        <v>6088013.7400000002</v>
      </c>
      <c r="Y32" s="31">
        <f>IF(X32=0,"",W32/X32)</f>
        <v>0.26295607867665555</v>
      </c>
    </row>
    <row r="33" spans="1:25" x14ac:dyDescent="0.2">
      <c r="A33" s="3"/>
      <c r="B33" s="3"/>
      <c r="C33" s="5"/>
      <c r="D33" s="5"/>
      <c r="E33" s="5"/>
      <c r="F33" s="5"/>
      <c r="G33" s="28"/>
      <c r="H33" s="29"/>
      <c r="I33" s="29"/>
      <c r="J33" s="8"/>
      <c r="K33" s="29"/>
      <c r="L33" s="29"/>
      <c r="M33" s="29"/>
      <c r="N33" s="29"/>
      <c r="O33" s="8"/>
      <c r="P33" s="29"/>
      <c r="Q33" s="28"/>
      <c r="R33" s="28"/>
      <c r="S33" s="28"/>
      <c r="T33" s="20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8"/>
      <c r="H34" s="29"/>
      <c r="I34" s="29"/>
      <c r="J34" s="8"/>
      <c r="K34" s="29"/>
      <c r="L34" s="29"/>
      <c r="M34" s="29"/>
      <c r="N34" s="29"/>
      <c r="O34" s="8"/>
      <c r="P34" s="29"/>
      <c r="Q34" s="28"/>
      <c r="R34" s="28"/>
      <c r="S34" s="28"/>
      <c r="T34" s="20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8"/>
      <c r="H35" s="29"/>
      <c r="I35" s="29"/>
      <c r="J35" s="8"/>
      <c r="K35" s="29"/>
      <c r="L35" s="29"/>
      <c r="M35" s="29"/>
      <c r="N35" s="29"/>
      <c r="O35" s="8"/>
      <c r="P35" s="29"/>
      <c r="Q35" s="28"/>
      <c r="R35" s="28"/>
      <c r="S35" s="28"/>
      <c r="T35" s="20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353344.68999999994</v>
      </c>
      <c r="H36" s="19">
        <v>795435.45999999985</v>
      </c>
      <c r="I36" s="19">
        <v>4026759.4999999995</v>
      </c>
      <c r="J36" s="8">
        <f t="shared" ref="J36:J51" si="10">IF(I36=0,"%",H36/I36)</f>
        <v>0.1975373647221792</v>
      </c>
      <c r="K36" s="29"/>
      <c r="L36" s="19">
        <v>17235.66</v>
      </c>
      <c r="M36" s="19">
        <v>35107.14</v>
      </c>
      <c r="N36" s="19">
        <v>247282.78000000003</v>
      </c>
      <c r="O36" s="8">
        <f t="shared" ref="O36:O51" si="11">IF(N36=0,"%",M36/N36)</f>
        <v>0.1419716326385525</v>
      </c>
      <c r="P36" s="29"/>
      <c r="Q36" s="19">
        <v>0</v>
      </c>
      <c r="R36" s="19">
        <v>0</v>
      </c>
      <c r="S36" s="19">
        <v>0</v>
      </c>
      <c r="T36" s="20" t="str">
        <f t="shared" ref="T36:T51" si="12">IF(S36=0,"%",R36/S36)</f>
        <v>%</v>
      </c>
      <c r="U36" s="29"/>
      <c r="V36" s="23">
        <f t="shared" ref="V36:V51" si="13">G36+L36+Q36</f>
        <v>370580.34999999992</v>
      </c>
      <c r="W36" s="23">
        <f t="shared" ref="W36:W51" si="14">H36+M36+R36</f>
        <v>830542.59999999986</v>
      </c>
      <c r="X36" s="23">
        <f t="shared" ref="X36:X51" si="15">I36+N36+S36</f>
        <v>4274042.2799999993</v>
      </c>
      <c r="Y36" s="8">
        <f t="shared" ref="Y36:Y51" si="16">IF(X36=0,"%",W36/X36)</f>
        <v>0.19432250445589883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34057.620000000003</v>
      </c>
      <c r="H37" s="19">
        <v>58899.289999999994</v>
      </c>
      <c r="I37" s="19">
        <v>312795.89</v>
      </c>
      <c r="J37" s="8">
        <f t="shared" si="10"/>
        <v>0.18829943705462368</v>
      </c>
      <c r="K37" s="29"/>
      <c r="L37" s="23">
        <v>10701.300000000001</v>
      </c>
      <c r="M37" s="23">
        <v>20841.829999999998</v>
      </c>
      <c r="N37" s="23">
        <v>131539.96999999997</v>
      </c>
      <c r="O37" s="8">
        <f t="shared" si="11"/>
        <v>0.15844484379918897</v>
      </c>
      <c r="P37" s="29"/>
      <c r="Q37" s="19">
        <v>0</v>
      </c>
      <c r="R37" s="19">
        <v>0</v>
      </c>
      <c r="S37" s="19">
        <v>0</v>
      </c>
      <c r="T37" s="20" t="str">
        <f t="shared" si="12"/>
        <v>%</v>
      </c>
      <c r="U37" s="29"/>
      <c r="V37" s="23">
        <f t="shared" si="13"/>
        <v>44758.920000000006</v>
      </c>
      <c r="W37" s="23">
        <f t="shared" si="14"/>
        <v>79741.119999999995</v>
      </c>
      <c r="X37" s="23">
        <f t="shared" si="15"/>
        <v>444335.86</v>
      </c>
      <c r="Y37" s="8">
        <f t="shared" si="16"/>
        <v>0.17946136510341523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9000</v>
      </c>
      <c r="H38" s="19">
        <v>9000</v>
      </c>
      <c r="I38" s="19">
        <v>13750</v>
      </c>
      <c r="J38" s="8">
        <f t="shared" si="10"/>
        <v>0.65454545454545454</v>
      </c>
      <c r="K38" s="29"/>
      <c r="L38" s="23">
        <v>0</v>
      </c>
      <c r="M38" s="23">
        <v>0</v>
      </c>
      <c r="N38" s="23">
        <v>0</v>
      </c>
      <c r="O38" s="8" t="str">
        <f t="shared" si="11"/>
        <v>%</v>
      </c>
      <c r="P38" s="29"/>
      <c r="Q38" s="19">
        <v>0</v>
      </c>
      <c r="R38" s="19">
        <v>0</v>
      </c>
      <c r="S38" s="19">
        <v>0</v>
      </c>
      <c r="T38" s="20" t="str">
        <f t="shared" si="12"/>
        <v>%</v>
      </c>
      <c r="U38" s="29"/>
      <c r="V38" s="23">
        <f t="shared" si="13"/>
        <v>9000</v>
      </c>
      <c r="W38" s="23">
        <f t="shared" si="14"/>
        <v>9000</v>
      </c>
      <c r="X38" s="23">
        <f t="shared" si="15"/>
        <v>13750</v>
      </c>
      <c r="Y38" s="8">
        <f t="shared" si="16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8" t="str">
        <f t="shared" si="11"/>
        <v>%</v>
      </c>
      <c r="P39" s="29"/>
      <c r="Q39" s="19">
        <v>0</v>
      </c>
      <c r="R39" s="19">
        <v>0</v>
      </c>
      <c r="S39" s="19">
        <v>0</v>
      </c>
      <c r="T39" s="20" t="str">
        <f t="shared" si="12"/>
        <v>%</v>
      </c>
      <c r="U39" s="29"/>
      <c r="V39" s="23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36221.239999999991</v>
      </c>
      <c r="H40" s="19">
        <v>112850.59</v>
      </c>
      <c r="I40" s="19">
        <v>447743.15</v>
      </c>
      <c r="J40" s="8">
        <f t="shared" si="10"/>
        <v>0.25204314125185384</v>
      </c>
      <c r="K40" s="29"/>
      <c r="L40" s="23">
        <v>0</v>
      </c>
      <c r="M40" s="23">
        <v>0</v>
      </c>
      <c r="N40" s="23">
        <v>0</v>
      </c>
      <c r="O40" s="8" t="str">
        <f t="shared" si="11"/>
        <v>%</v>
      </c>
      <c r="P40" s="29"/>
      <c r="Q40" s="19">
        <v>0</v>
      </c>
      <c r="R40" s="19">
        <v>0</v>
      </c>
      <c r="S40" s="19">
        <v>0</v>
      </c>
      <c r="T40" s="20" t="str">
        <f t="shared" si="12"/>
        <v>%</v>
      </c>
      <c r="U40" s="29"/>
      <c r="V40" s="23">
        <f t="shared" si="13"/>
        <v>36221.239999999991</v>
      </c>
      <c r="W40" s="23">
        <f t="shared" si="14"/>
        <v>112850.59</v>
      </c>
      <c r="X40" s="23">
        <f t="shared" si="15"/>
        <v>447743.15</v>
      </c>
      <c r="Y40" s="8">
        <f t="shared" si="16"/>
        <v>0.25204314125185384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8" t="str">
        <f t="shared" si="11"/>
        <v>%</v>
      </c>
      <c r="P41" s="29"/>
      <c r="Q41" s="19">
        <v>0</v>
      </c>
      <c r="R41" s="19">
        <v>0</v>
      </c>
      <c r="S41" s="19">
        <v>0</v>
      </c>
      <c r="T41" s="20" t="str">
        <f t="shared" si="12"/>
        <v>%</v>
      </c>
      <c r="U41" s="29"/>
      <c r="V41" s="23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2426.84</v>
      </c>
      <c r="H42" s="19">
        <v>7390.86</v>
      </c>
      <c r="I42" s="19">
        <v>25857</v>
      </c>
      <c r="J42" s="8">
        <f t="shared" si="10"/>
        <v>0.28583594384499361</v>
      </c>
      <c r="K42" s="29"/>
      <c r="L42" s="23">
        <v>0</v>
      </c>
      <c r="M42" s="23">
        <v>0</v>
      </c>
      <c r="N42" s="23">
        <v>0</v>
      </c>
      <c r="O42" s="8" t="str">
        <f t="shared" si="11"/>
        <v>%</v>
      </c>
      <c r="P42" s="29"/>
      <c r="Q42" s="19">
        <v>0</v>
      </c>
      <c r="R42" s="19">
        <v>0</v>
      </c>
      <c r="S42" s="19">
        <v>0</v>
      </c>
      <c r="T42" s="20" t="str">
        <f t="shared" si="12"/>
        <v>%</v>
      </c>
      <c r="U42" s="29"/>
      <c r="V42" s="23">
        <f t="shared" si="13"/>
        <v>2426.84</v>
      </c>
      <c r="W42" s="23">
        <f t="shared" si="14"/>
        <v>7390.86</v>
      </c>
      <c r="X42" s="23">
        <f t="shared" si="15"/>
        <v>25857</v>
      </c>
      <c r="Y42" s="8">
        <f t="shared" si="16"/>
        <v>0.28583594384499361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8" t="str">
        <f t="shared" si="11"/>
        <v>%</v>
      </c>
      <c r="P43" s="29"/>
      <c r="Q43" s="19">
        <v>0</v>
      </c>
      <c r="R43" s="19">
        <v>0</v>
      </c>
      <c r="S43" s="19">
        <v>0</v>
      </c>
      <c r="T43" s="20" t="str">
        <f t="shared" si="12"/>
        <v>%</v>
      </c>
      <c r="U43" s="29"/>
      <c r="V43" s="23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8" t="str">
        <f t="shared" si="11"/>
        <v>%</v>
      </c>
      <c r="P44" s="29"/>
      <c r="Q44" s="19">
        <v>0</v>
      </c>
      <c r="R44" s="19">
        <v>0</v>
      </c>
      <c r="S44" s="19">
        <v>0</v>
      </c>
      <c r="T44" s="20" t="str">
        <f t="shared" si="12"/>
        <v>%</v>
      </c>
      <c r="U44" s="29"/>
      <c r="V44" s="23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8" t="str">
        <f t="shared" si="11"/>
        <v>%</v>
      </c>
      <c r="P45" s="29"/>
      <c r="Q45" s="19">
        <v>0</v>
      </c>
      <c r="R45" s="19">
        <v>0</v>
      </c>
      <c r="S45" s="19">
        <v>0</v>
      </c>
      <c r="T45" s="20" t="str">
        <f t="shared" si="12"/>
        <v>%</v>
      </c>
      <c r="U45" s="29"/>
      <c r="V45" s="23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38375.479999999996</v>
      </c>
      <c r="H46" s="19">
        <v>117768.67000000001</v>
      </c>
      <c r="I46" s="19">
        <v>305745.84999999998</v>
      </c>
      <c r="J46" s="8">
        <f t="shared" si="10"/>
        <v>0.38518485205931668</v>
      </c>
      <c r="K46" s="29"/>
      <c r="L46" s="23">
        <v>0</v>
      </c>
      <c r="M46" s="23">
        <v>0</v>
      </c>
      <c r="N46" s="23">
        <v>0</v>
      </c>
      <c r="O46" s="8" t="str">
        <f t="shared" si="11"/>
        <v>%</v>
      </c>
      <c r="P46" s="29"/>
      <c r="Q46" s="19">
        <v>0</v>
      </c>
      <c r="R46" s="19">
        <v>0</v>
      </c>
      <c r="S46" s="19">
        <v>0</v>
      </c>
      <c r="T46" s="20" t="str">
        <f t="shared" si="12"/>
        <v>%</v>
      </c>
      <c r="U46" s="29"/>
      <c r="V46" s="23">
        <f t="shared" si="13"/>
        <v>38375.479999999996</v>
      </c>
      <c r="W46" s="23">
        <f t="shared" si="14"/>
        <v>117768.67000000001</v>
      </c>
      <c r="X46" s="23">
        <f t="shared" si="15"/>
        <v>305745.84999999998</v>
      </c>
      <c r="Y46" s="8">
        <f t="shared" si="16"/>
        <v>0.38518485205931668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23">
        <v>6074.25</v>
      </c>
      <c r="I47" s="23">
        <v>0</v>
      </c>
      <c r="J47" s="8" t="str">
        <f t="shared" si="10"/>
        <v>%</v>
      </c>
      <c r="K47" s="29"/>
      <c r="L47" s="23">
        <v>0</v>
      </c>
      <c r="M47" s="23">
        <v>0</v>
      </c>
      <c r="N47" s="23">
        <v>0</v>
      </c>
      <c r="O47" s="8" t="str">
        <f t="shared" si="11"/>
        <v>%</v>
      </c>
      <c r="P47" s="29"/>
      <c r="Q47" s="19">
        <v>0</v>
      </c>
      <c r="R47" s="19">
        <v>0</v>
      </c>
      <c r="S47" s="19">
        <v>0</v>
      </c>
      <c r="T47" s="20" t="str">
        <f t="shared" si="12"/>
        <v>%</v>
      </c>
      <c r="U47" s="29"/>
      <c r="V47" s="23">
        <f t="shared" si="13"/>
        <v>0</v>
      </c>
      <c r="W47" s="23">
        <f t="shared" si="14"/>
        <v>6074.25</v>
      </c>
      <c r="X47" s="23">
        <f t="shared" si="15"/>
        <v>0</v>
      </c>
      <c r="Y47" s="8" t="str">
        <f t="shared" si="16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8" t="str">
        <f t="shared" si="11"/>
        <v>%</v>
      </c>
      <c r="P48" s="29"/>
      <c r="Q48" s="19">
        <v>0</v>
      </c>
      <c r="R48" s="19">
        <v>0</v>
      </c>
      <c r="S48" s="19">
        <v>0</v>
      </c>
      <c r="T48" s="20" t="str">
        <f t="shared" si="12"/>
        <v>%</v>
      </c>
      <c r="U48" s="29"/>
      <c r="V48" s="23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8" t="str">
        <f t="shared" si="11"/>
        <v>%</v>
      </c>
      <c r="P49" s="29"/>
      <c r="Q49" s="19">
        <v>0</v>
      </c>
      <c r="R49" s="19">
        <v>0</v>
      </c>
      <c r="S49" s="19">
        <v>0</v>
      </c>
      <c r="T49" s="20" t="str">
        <f t="shared" si="12"/>
        <v>%</v>
      </c>
      <c r="U49" s="29"/>
      <c r="V49" s="23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8" t="str">
        <f t="shared" si="11"/>
        <v>%</v>
      </c>
      <c r="P50" s="29"/>
      <c r="Q50" s="19">
        <v>0</v>
      </c>
      <c r="R50" s="19">
        <v>0</v>
      </c>
      <c r="S50" s="19">
        <v>0</v>
      </c>
      <c r="T50" s="20" t="str">
        <f t="shared" si="12"/>
        <v>%</v>
      </c>
      <c r="U50" s="29"/>
      <c r="V50" s="23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8" t="str">
        <f t="shared" si="11"/>
        <v>%</v>
      </c>
      <c r="P51" s="29"/>
      <c r="Q51" s="19">
        <v>1236.5</v>
      </c>
      <c r="R51" s="19">
        <v>11022.91</v>
      </c>
      <c r="S51" s="19">
        <v>0</v>
      </c>
      <c r="T51" s="20" t="str">
        <f t="shared" si="12"/>
        <v>%</v>
      </c>
      <c r="U51" s="29"/>
      <c r="V51" s="23">
        <f t="shared" si="13"/>
        <v>1236.5</v>
      </c>
      <c r="W51" s="23">
        <f t="shared" si="14"/>
        <v>11022.91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0">
        <f>SUM(G36:G51)</f>
        <v>473425.86999999994</v>
      </c>
      <c r="H52" s="57">
        <f>SUM(H36:H51)</f>
        <v>1107419.1199999999</v>
      </c>
      <c r="I52" s="57">
        <f>SUM(I36:I51)</f>
        <v>5132651.3899999997</v>
      </c>
      <c r="J52" s="31">
        <f>IF(I52=0,"",H52/I52)</f>
        <v>0.21575966023283727</v>
      </c>
      <c r="K52" s="29"/>
      <c r="L52" s="57">
        <f>SUM(L36:L51)</f>
        <v>27936.959999999999</v>
      </c>
      <c r="M52" s="57">
        <f>SUM(M36:M51)</f>
        <v>55948.97</v>
      </c>
      <c r="N52" s="57">
        <f>SUM(N36:N51)</f>
        <v>378822.75</v>
      </c>
      <c r="O52" s="31">
        <f>IF(N52=0,"",M52/N52)</f>
        <v>0.14769168430354301</v>
      </c>
      <c r="P52" s="29"/>
      <c r="Q52" s="70">
        <f>SUM(Q36:Q51)</f>
        <v>1236.5</v>
      </c>
      <c r="R52" s="70">
        <f>SUM(R36:R51)</f>
        <v>11022.91</v>
      </c>
      <c r="S52" s="70">
        <f>SUM(S36:S51)</f>
        <v>0</v>
      </c>
      <c r="T52" s="150" t="str">
        <f>IF(S52=0,"",R52/S52)</f>
        <v/>
      </c>
      <c r="U52" s="29"/>
      <c r="V52" s="57">
        <f>SUM(V36:V51)</f>
        <v>502599.3299999999</v>
      </c>
      <c r="W52" s="57">
        <f>SUM(W36:W51)</f>
        <v>1174390.9999999998</v>
      </c>
      <c r="X52" s="57">
        <f>SUM(X36:X51)</f>
        <v>5511474.1399999997</v>
      </c>
      <c r="Y52" s="31">
        <f>IF(X52=0,"",W52/X52)</f>
        <v>0.21308110501267813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146">
        <f>G32-G52</f>
        <v>24218.340000000026</v>
      </c>
      <c r="H53" s="58">
        <f>H32-H52</f>
        <v>419810.05000000028</v>
      </c>
      <c r="I53" s="58">
        <f>I32-I52</f>
        <v>576539.61000000034</v>
      </c>
      <c r="J53" s="31">
        <f>IF(I53=0,"",H53/I53)</f>
        <v>0.72815474031350602</v>
      </c>
      <c r="K53" s="29"/>
      <c r="L53" s="58">
        <f>L32-L52</f>
        <v>-27936.959999999999</v>
      </c>
      <c r="M53" s="58">
        <f>M32-M52</f>
        <v>8089.4099999999962</v>
      </c>
      <c r="N53" s="58">
        <f>N32-N52</f>
        <v>-1.0000000009313226E-2</v>
      </c>
      <c r="O53" s="31"/>
      <c r="P53" s="29"/>
      <c r="Q53" s="146">
        <f>Q32-Q52</f>
        <v>2741.86</v>
      </c>
      <c r="R53" s="146">
        <f>R32-R52</f>
        <v>-1410.2399999999998</v>
      </c>
      <c r="S53" s="146">
        <f>S32-S52</f>
        <v>0</v>
      </c>
      <c r="T53" s="150" t="str">
        <f>IF(S53=0,"",R53/S53)</f>
        <v/>
      </c>
      <c r="U53" s="29"/>
      <c r="V53" s="58">
        <f>V32-V52</f>
        <v>-976.75999999995111</v>
      </c>
      <c r="W53" s="58">
        <f>W32-W52</f>
        <v>426489.2200000002</v>
      </c>
      <c r="X53" s="58">
        <f>X32-X52</f>
        <v>576539.60000000056</v>
      </c>
      <c r="Y53" s="31">
        <f>IF(X53=0,"",W53/X53)</f>
        <v>0.73973968136794033</v>
      </c>
    </row>
    <row r="54" spans="1:25" x14ac:dyDescent="0.2">
      <c r="A54" s="3"/>
      <c r="B54" s="3"/>
      <c r="C54" s="5"/>
      <c r="D54" s="5"/>
      <c r="E54" s="5"/>
      <c r="F54" s="5"/>
      <c r="G54" s="28"/>
      <c r="H54" s="29"/>
      <c r="I54" s="29"/>
      <c r="J54" s="8"/>
      <c r="K54" s="29"/>
      <c r="L54" s="29"/>
      <c r="M54" s="29"/>
      <c r="N54" s="29"/>
      <c r="O54" s="8"/>
      <c r="P54" s="29"/>
      <c r="Q54" s="28"/>
      <c r="R54" s="28"/>
      <c r="S54" s="28"/>
      <c r="T54" s="20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8"/>
      <c r="H55" s="29"/>
      <c r="I55" s="29"/>
      <c r="J55" s="8"/>
      <c r="K55" s="29"/>
      <c r="L55" s="29"/>
      <c r="M55" s="29"/>
      <c r="N55" s="29"/>
      <c r="O55" s="8"/>
      <c r="P55" s="29"/>
      <c r="Q55" s="28"/>
      <c r="R55" s="28"/>
      <c r="S55" s="28"/>
      <c r="T55" s="20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97643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7"/>
      <c r="R56" s="67"/>
      <c r="S56" s="68">
        <v>0</v>
      </c>
      <c r="T56" s="20" t="str">
        <f>IF(S56=0,"%",R56/S56)</f>
        <v>%</v>
      </c>
      <c r="U56" s="29"/>
      <c r="V56" s="66">
        <f t="shared" ref="V56:X57" si="17">G56+L56+Q56</f>
        <v>0</v>
      </c>
      <c r="W56" s="66">
        <f t="shared" si="17"/>
        <v>0</v>
      </c>
      <c r="X56" s="59">
        <f t="shared" si="17"/>
        <v>97643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43757.759999999995</v>
      </c>
      <c r="H57" s="19">
        <v>128785.12000000001</v>
      </c>
      <c r="I57" s="19">
        <v>674180.4</v>
      </c>
      <c r="J57" s="8">
        <f>IF(I57=0,"%",H57/I57)</f>
        <v>0.19102471682653485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7"/>
      <c r="R57" s="67"/>
      <c r="S57" s="68">
        <v>0</v>
      </c>
      <c r="T57" s="20" t="str">
        <f>IF(S57=0,"%",R57/S57)</f>
        <v>%</v>
      </c>
      <c r="U57" s="29"/>
      <c r="V57" s="66">
        <f t="shared" si="17"/>
        <v>43757.759999999995</v>
      </c>
      <c r="W57" s="66">
        <f t="shared" si="17"/>
        <v>128785.12000000001</v>
      </c>
      <c r="X57" s="59">
        <f t="shared" si="17"/>
        <v>674180.4</v>
      </c>
      <c r="Y57" s="8">
        <f>IF(X57=0,"%",W57/X57)</f>
        <v>0.19102471682653485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70">
        <f>SUM(G56:G57)</f>
        <v>43757.759999999995</v>
      </c>
      <c r="H58" s="57">
        <f>SUM(H56-H57)</f>
        <v>-128785.12000000001</v>
      </c>
      <c r="I58" s="57">
        <f>SUM(I56:I57)</f>
        <v>771823.4</v>
      </c>
      <c r="J58" s="31">
        <f>IF(I58=0,"",H58/I58)</f>
        <v>-0.16685827353770305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70">
        <f>SUM(Q56:Q57)</f>
        <v>0</v>
      </c>
      <c r="R58" s="70">
        <f>SUM(R56:R57)</f>
        <v>0</v>
      </c>
      <c r="S58" s="70">
        <f>SUM(S56:S57)</f>
        <v>0</v>
      </c>
      <c r="T58" s="150" t="str">
        <f>IF(S58=0,"",R58/S58)</f>
        <v/>
      </c>
      <c r="U58" s="29"/>
      <c r="V58" s="57">
        <f>SUM(V56:V57)</f>
        <v>43757.759999999995</v>
      </c>
      <c r="W58" s="57">
        <f>W56-W57</f>
        <v>-128785.12000000001</v>
      </c>
      <c r="X58" s="57">
        <f>SUM(X56:X57)</f>
        <v>771823.4</v>
      </c>
      <c r="Y58" s="31">
        <f>IF(X58=0,"",W58/X58)</f>
        <v>-0.16685827353770305</v>
      </c>
    </row>
    <row r="59" spans="1:25" x14ac:dyDescent="0.2">
      <c r="A59" s="3"/>
      <c r="B59" s="3"/>
      <c r="C59" s="5"/>
      <c r="D59" s="5"/>
      <c r="E59" s="74"/>
      <c r="F59" s="5"/>
      <c r="G59" s="28"/>
      <c r="H59" s="29"/>
      <c r="I59" s="29"/>
      <c r="J59" s="8"/>
      <c r="K59" s="29"/>
      <c r="L59" s="29"/>
      <c r="M59" s="29"/>
      <c r="N59" s="29"/>
      <c r="O59" s="8"/>
      <c r="P59" s="29"/>
      <c r="Q59" s="28"/>
      <c r="R59" s="28"/>
      <c r="S59" s="28"/>
      <c r="T59" s="20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5"/>
      <c r="F60" s="5"/>
      <c r="G60" s="68"/>
      <c r="H60" s="59">
        <f>H53+H58</f>
        <v>291024.93000000028</v>
      </c>
      <c r="I60" s="59"/>
      <c r="J60" s="8" t="str">
        <f>IF(I60=0,"",H60/I60)</f>
        <v/>
      </c>
      <c r="K60" s="29"/>
      <c r="L60" s="59"/>
      <c r="M60" s="59">
        <f>M32-M52+M58</f>
        <v>8089.4099999999962</v>
      </c>
      <c r="N60" s="59"/>
      <c r="O60" s="29"/>
      <c r="P60" s="29"/>
      <c r="Q60" s="68"/>
      <c r="R60" s="68">
        <f>R32-R52+R58</f>
        <v>-1410.2399999999998</v>
      </c>
      <c r="S60" s="68">
        <f>S32-S52+S58</f>
        <v>0</v>
      </c>
      <c r="T60" s="28"/>
      <c r="U60" s="29">
        <f>U32-U52+U58</f>
        <v>0</v>
      </c>
      <c r="V60" s="59"/>
      <c r="W60" s="59">
        <f>W32-W52+W58</f>
        <v>297704.10000000021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68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68"/>
      <c r="R61" s="68"/>
      <c r="S61" s="68"/>
      <c r="T61" s="20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68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68"/>
      <c r="R62" s="68"/>
      <c r="S62" s="68"/>
      <c r="T62" s="20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70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70">
        <f>SUM(Q61:Q62)</f>
        <v>0</v>
      </c>
      <c r="R63" s="70">
        <f>SUM(R61:R62)</f>
        <v>0</v>
      </c>
      <c r="S63" s="70">
        <f>SUM(S61:S62)</f>
        <v>0</v>
      </c>
      <c r="T63" s="150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8"/>
      <c r="H64" s="29"/>
      <c r="I64" s="29"/>
      <c r="J64" s="8"/>
      <c r="K64" s="29"/>
      <c r="L64" s="29"/>
      <c r="M64" s="29"/>
      <c r="N64" s="29"/>
      <c r="O64" s="8"/>
      <c r="P64" s="29"/>
      <c r="Q64" s="28"/>
      <c r="R64" s="28"/>
      <c r="S64" s="28"/>
      <c r="T64" s="20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148">
        <f>G63+G60</f>
        <v>0</v>
      </c>
      <c r="H65" s="65">
        <f>H63+H60</f>
        <v>291024.93000000028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8089.4099999999962</v>
      </c>
      <c r="N65" s="65">
        <f>N63+N60</f>
        <v>0</v>
      </c>
      <c r="O65" s="38" t="str">
        <f>IF(N65=0,"%",M65/N65)</f>
        <v>%</v>
      </c>
      <c r="P65" s="39"/>
      <c r="Q65" s="148">
        <f>Q63+Q60</f>
        <v>0</v>
      </c>
      <c r="R65" s="148">
        <f>R63+R60</f>
        <v>-1410.2399999999998</v>
      </c>
      <c r="S65" s="148">
        <f>S63+S60</f>
        <v>0</v>
      </c>
      <c r="T65" s="151" t="str">
        <f>IF(S65=0,"%",R65/S65)</f>
        <v>%</v>
      </c>
      <c r="U65" s="39"/>
      <c r="V65" s="65">
        <f>V63+V60</f>
        <v>0</v>
      </c>
      <c r="W65" s="65">
        <f>W63+W60</f>
        <v>297704.10000000021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82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 codeName="Sheet3">
    <pageSetUpPr fitToPage="1"/>
  </sheetPr>
  <dimension ref="A1:Z67"/>
  <sheetViews>
    <sheetView topLeftCell="C6" zoomScale="80" zoomScaleNormal="80" zoomScaleSheetLayoutView="50" zoomScalePageLayoutView="40" workbookViewId="0">
      <selection activeCell="D12" sqref="D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17.7109375" style="149" bestFit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3.42578125" style="149" customWidth="1"/>
    <col min="21" max="21" width="2.42578125" style="4" customWidth="1"/>
    <col min="22" max="22" width="16.7109375" style="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5" t="s">
        <v>52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6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6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6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6" ht="23.25" x14ac:dyDescent="0.35">
      <c r="A5" s="3"/>
      <c r="B5" s="3"/>
      <c r="C5" s="52"/>
      <c r="D5" s="52"/>
      <c r="E5" s="52"/>
      <c r="F5" s="52"/>
      <c r="G5" s="145"/>
      <c r="H5" s="52"/>
      <c r="I5" s="52"/>
      <c r="J5" s="52"/>
      <c r="K5" s="52"/>
      <c r="L5" s="52"/>
      <c r="M5" s="52"/>
      <c r="N5" s="52"/>
      <c r="O5" s="52"/>
      <c r="P5" s="52"/>
      <c r="Q5" s="145"/>
      <c r="R5" s="145"/>
      <c r="S5" s="145"/>
      <c r="T5" s="145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145"/>
      <c r="H6" s="52"/>
      <c r="I6" s="52"/>
      <c r="J6" s="52"/>
      <c r="K6" s="52"/>
      <c r="L6" s="52"/>
      <c r="M6" s="52"/>
      <c r="N6" s="52"/>
      <c r="O6" s="52"/>
      <c r="P6" s="52"/>
      <c r="Q6" s="145"/>
      <c r="R6" s="145"/>
      <c r="S6" s="145"/>
      <c r="T6" s="145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20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17"/>
      <c r="R10" s="17"/>
      <c r="S10" s="17"/>
      <c r="T10" s="17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6" t="s">
        <v>5</v>
      </c>
      <c r="H11" s="127"/>
      <c r="I11" s="127"/>
      <c r="J11" s="128"/>
      <c r="K11" s="9"/>
      <c r="L11" s="126" t="s">
        <v>7</v>
      </c>
      <c r="M11" s="127"/>
      <c r="N11" s="127"/>
      <c r="O11" s="128"/>
      <c r="P11" s="9"/>
      <c r="Q11" s="130" t="s">
        <v>8</v>
      </c>
      <c r="R11" s="131"/>
      <c r="S11" s="131"/>
      <c r="T11" s="132"/>
      <c r="U11" s="9"/>
      <c r="V11" s="126" t="s">
        <v>9</v>
      </c>
      <c r="W11" s="127"/>
      <c r="X11" s="127"/>
      <c r="Y11" s="129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17"/>
      <c r="H13" s="5"/>
      <c r="I13" s="5"/>
      <c r="J13" s="5"/>
      <c r="K13" s="5"/>
      <c r="L13" s="5"/>
      <c r="M13" s="5"/>
      <c r="N13" s="5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17"/>
      <c r="H14" s="5"/>
      <c r="I14" s="5"/>
      <c r="J14" s="5"/>
      <c r="K14" s="5"/>
      <c r="L14" s="5"/>
      <c r="M14" s="5"/>
      <c r="N14" s="5"/>
      <c r="O14" s="5"/>
      <c r="P14" s="5"/>
      <c r="Q14" s="17"/>
      <c r="R14" s="17"/>
      <c r="S14" s="17"/>
      <c r="T14" s="17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17"/>
      <c r="R15" s="17"/>
      <c r="S15" s="17"/>
      <c r="T15" s="17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106071.13</v>
      </c>
      <c r="N17" s="19">
        <v>374319.9</v>
      </c>
      <c r="O17" s="8">
        <f>IF(N17=0,"%",M17/N17)</f>
        <v>0.28337026698286677</v>
      </c>
      <c r="P17" s="26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6"/>
      <c r="V17" s="23">
        <f t="shared" si="1"/>
        <v>0</v>
      </c>
      <c r="W17" s="23">
        <f t="shared" si="1"/>
        <v>106071.13</v>
      </c>
      <c r="X17" s="23">
        <f t="shared" si="1"/>
        <v>374319.9</v>
      </c>
      <c r="Y17" s="8">
        <f>IF(X17=0,"%",W17/X17)</f>
        <v>0.28337026698286677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19"/>
      <c r="R18" s="19"/>
      <c r="S18" s="19"/>
      <c r="T18" s="20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253707.33</v>
      </c>
      <c r="H19" s="19">
        <v>777945.29</v>
      </c>
      <c r="I19" s="19">
        <v>3229207</v>
      </c>
      <c r="J19" s="20">
        <f t="shared" si="2"/>
        <v>0.24090908077432013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6"/>
      <c r="V19" s="23">
        <f t="shared" ref="V19:X24" si="5">G19+L19+Q19</f>
        <v>253707.33</v>
      </c>
      <c r="W19" s="23">
        <f t="shared" si="5"/>
        <v>777945.29</v>
      </c>
      <c r="X19" s="23">
        <f t="shared" si="5"/>
        <v>3229207</v>
      </c>
      <c r="Y19" s="8">
        <f t="shared" ref="Y19:Y24" si="6">IF(X19=0,"%",W19/X19)</f>
        <v>0.24090908077432013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9358.36</v>
      </c>
      <c r="H21" s="19">
        <v>28075.08</v>
      </c>
      <c r="I21" s="19">
        <v>102942</v>
      </c>
      <c r="J21" s="20">
        <f t="shared" si="2"/>
        <v>0.27272716675409453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20" t="str">
        <f t="shared" si="4"/>
        <v>%</v>
      </c>
      <c r="U21" s="26"/>
      <c r="V21" s="23">
        <f t="shared" si="5"/>
        <v>9358.36</v>
      </c>
      <c r="W21" s="23">
        <f t="shared" si="5"/>
        <v>28075.08</v>
      </c>
      <c r="X21" s="23">
        <f t="shared" si="5"/>
        <v>102942</v>
      </c>
      <c r="Y21" s="8">
        <f>IF(X21=0,"%",W21/X21)</f>
        <v>0.27272716675409453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40966.18</v>
      </c>
      <c r="H22" s="19">
        <v>122898.54</v>
      </c>
      <c r="I22" s="19">
        <v>470413</v>
      </c>
      <c r="J22" s="20">
        <f t="shared" si="2"/>
        <v>0.26125668295731624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f t="shared" si="5"/>
        <v>40966.18</v>
      </c>
      <c r="W22" s="23">
        <f t="shared" si="5"/>
        <v>122898.54</v>
      </c>
      <c r="X22" s="23">
        <f t="shared" si="5"/>
        <v>470413</v>
      </c>
      <c r="Y22" s="8">
        <f>IF(X22=0,"%",W22/X22)</f>
        <v>0.26125668295731624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19">
        <v>0</v>
      </c>
      <c r="R23" s="19">
        <v>0</v>
      </c>
      <c r="S23" s="19">
        <v>0</v>
      </c>
      <c r="T23" s="20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600</v>
      </c>
      <c r="H24" s="19">
        <v>8400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19">
        <v>0</v>
      </c>
      <c r="R24" s="19">
        <v>0</v>
      </c>
      <c r="S24" s="19">
        <v>0</v>
      </c>
      <c r="T24" s="20" t="str">
        <f t="shared" si="4"/>
        <v>%</v>
      </c>
      <c r="U24" s="26"/>
      <c r="V24" s="23">
        <f t="shared" si="5"/>
        <v>600</v>
      </c>
      <c r="W24" s="23">
        <f t="shared" si="5"/>
        <v>8400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19"/>
      <c r="R25" s="19"/>
      <c r="S25" s="19"/>
      <c r="T25" s="20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16619.009999999998</v>
      </c>
      <c r="H27" s="19">
        <v>49344.93</v>
      </c>
      <c r="I27" s="19">
        <v>184855</v>
      </c>
      <c r="J27" s="20">
        <f t="shared" si="2"/>
        <v>0.26693857347650862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19">
        <v>0</v>
      </c>
      <c r="R27" s="19">
        <v>0</v>
      </c>
      <c r="S27" s="19">
        <v>0</v>
      </c>
      <c r="T27" s="20" t="str">
        <f t="shared" si="8"/>
        <v>%</v>
      </c>
      <c r="U27" s="29"/>
      <c r="V27" s="23">
        <f t="shared" si="9"/>
        <v>16619.009999999998</v>
      </c>
      <c r="W27" s="23">
        <f t="shared" si="9"/>
        <v>49344.93</v>
      </c>
      <c r="X27" s="23">
        <f t="shared" si="9"/>
        <v>184855</v>
      </c>
      <c r="Y27" s="8">
        <f t="shared" si="10"/>
        <v>0.26693857347650862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19">
        <v>0</v>
      </c>
      <c r="R28" s="19">
        <v>0</v>
      </c>
      <c r="S28" s="19">
        <v>0</v>
      </c>
      <c r="T28" s="20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19">
        <v>0</v>
      </c>
      <c r="R29" s="19">
        <v>0</v>
      </c>
      <c r="S29" s="19">
        <v>0</v>
      </c>
      <c r="T29" s="20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40000</v>
      </c>
      <c r="H30" s="19">
        <v>40000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19">
        <v>0</v>
      </c>
      <c r="T30" s="20" t="str">
        <f t="shared" si="8"/>
        <v>%</v>
      </c>
      <c r="U30" s="29"/>
      <c r="V30" s="23">
        <f t="shared" si="9"/>
        <v>40000</v>
      </c>
      <c r="W30" s="23">
        <f t="shared" si="9"/>
        <v>40000</v>
      </c>
      <c r="X30" s="23">
        <f t="shared" si="9"/>
        <v>0</v>
      </c>
      <c r="Y30" s="8" t="str">
        <f t="shared" si="10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4308.17</v>
      </c>
      <c r="R31" s="19">
        <v>4920.82</v>
      </c>
      <c r="S31" s="19">
        <v>0</v>
      </c>
      <c r="T31" s="20" t="str">
        <f t="shared" si="8"/>
        <v>%</v>
      </c>
      <c r="U31" s="29"/>
      <c r="V31" s="23">
        <f t="shared" si="9"/>
        <v>4308.17</v>
      </c>
      <c r="W31" s="23">
        <f t="shared" si="9"/>
        <v>4920.82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70">
        <f>SUM(G16:G31)</f>
        <v>361250.88</v>
      </c>
      <c r="H32" s="57">
        <f>SUM(H16:H31)</f>
        <v>1026663.8400000001</v>
      </c>
      <c r="I32" s="57">
        <f>SUM(I16:I31)</f>
        <v>3987417</v>
      </c>
      <c r="J32" s="31">
        <f>IF(I32=0,"",H32/I32)</f>
        <v>0.25747591485916826</v>
      </c>
      <c r="K32" s="29"/>
      <c r="L32" s="57">
        <f>SUM(L16:L31)</f>
        <v>0</v>
      </c>
      <c r="M32" s="57">
        <f>SUM(M16:M31)</f>
        <v>106071.13</v>
      </c>
      <c r="N32" s="57">
        <f>SUM(N16:N31)</f>
        <v>374319.9</v>
      </c>
      <c r="O32" s="31">
        <f>IF(N32=0,"",M32/N32)</f>
        <v>0.28337026698286677</v>
      </c>
      <c r="P32" s="29"/>
      <c r="Q32" s="70">
        <f>SUM(Q16:Q31)</f>
        <v>4308.17</v>
      </c>
      <c r="R32" s="70">
        <f>SUM(R16:R31)</f>
        <v>4920.82</v>
      </c>
      <c r="S32" s="70">
        <f>SUM(S16:S31)</f>
        <v>0</v>
      </c>
      <c r="T32" s="150" t="str">
        <f>IF(S32=0,"",R32/S32)</f>
        <v/>
      </c>
      <c r="U32" s="29"/>
      <c r="V32" s="57">
        <f>SUM(V16:V31)</f>
        <v>365559.05</v>
      </c>
      <c r="W32" s="57">
        <f>SUM(W16:W31)</f>
        <v>1137655.79</v>
      </c>
      <c r="X32" s="57">
        <f>SUM(X16:X31)</f>
        <v>4361736.9000000004</v>
      </c>
      <c r="Y32" s="31">
        <f>IF(X32=0,"",W32/X32)</f>
        <v>0.26082632127582017</v>
      </c>
    </row>
    <row r="33" spans="1:25" x14ac:dyDescent="0.2">
      <c r="A33" s="3"/>
      <c r="B33" s="3"/>
      <c r="C33" s="5"/>
      <c r="D33" s="5"/>
      <c r="E33" s="5"/>
      <c r="F33" s="5"/>
      <c r="G33" s="28"/>
      <c r="H33" s="29"/>
      <c r="I33" s="29"/>
      <c r="J33" s="8"/>
      <c r="K33" s="29"/>
      <c r="L33" s="29"/>
      <c r="M33" s="29"/>
      <c r="N33" s="29"/>
      <c r="O33" s="8"/>
      <c r="P33" s="29"/>
      <c r="Q33" s="28"/>
      <c r="R33" s="28"/>
      <c r="S33" s="28"/>
      <c r="T33" s="20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8"/>
      <c r="H34" s="29"/>
      <c r="I34" s="29"/>
      <c r="J34" s="8"/>
      <c r="K34" s="29"/>
      <c r="L34" s="29"/>
      <c r="M34" s="29"/>
      <c r="N34" s="29"/>
      <c r="O34" s="8"/>
      <c r="P34" s="29"/>
      <c r="Q34" s="28"/>
      <c r="R34" s="28"/>
      <c r="S34" s="28"/>
      <c r="T34" s="20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8"/>
      <c r="H35" s="29"/>
      <c r="I35" s="29"/>
      <c r="J35" s="8"/>
      <c r="K35" s="29"/>
      <c r="L35" s="29"/>
      <c r="M35" s="29"/>
      <c r="N35" s="29"/>
      <c r="O35" s="8"/>
      <c r="P35" s="29"/>
      <c r="Q35" s="28"/>
      <c r="R35" s="28"/>
      <c r="S35" s="28"/>
      <c r="T35" s="20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f>201536.23+40063.32</f>
        <v>241599.55000000002</v>
      </c>
      <c r="H36" s="19">
        <f>396792.59+61219.35</f>
        <v>458011.94</v>
      </c>
      <c r="I36" s="19">
        <v>2686218.06</v>
      </c>
      <c r="J36" s="8">
        <f t="shared" ref="J36:J51" si="11">IF(I36=0,"%",H36/I36)</f>
        <v>0.17050437818886527</v>
      </c>
      <c r="K36" s="29"/>
      <c r="L36" s="19">
        <v>22467.419999999995</v>
      </c>
      <c r="M36" s="19">
        <v>49209.349999999991</v>
      </c>
      <c r="N36" s="19">
        <v>137935.99</v>
      </c>
      <c r="O36" s="8">
        <f t="shared" ref="O36:O51" si="12">IF(N36=0,"%",M36/N36)</f>
        <v>0.3567549701858086</v>
      </c>
      <c r="P36" s="29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9"/>
      <c r="V36" s="23">
        <f t="shared" ref="V36:V51" si="14">G36+L36+Q36</f>
        <v>264066.97000000003</v>
      </c>
      <c r="W36" s="23">
        <f t="shared" ref="W36:W51" si="15">H36+M36+R36</f>
        <v>507221.29</v>
      </c>
      <c r="X36" s="23">
        <f t="shared" ref="X36:X51" si="16">I36+N36+S36</f>
        <v>2824154.05</v>
      </c>
      <c r="Y36" s="8">
        <f t="shared" ref="Y36:Y51" si="17">IF(X36=0,"%",W36/X36)</f>
        <v>0.17960114109214403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f>6163.1+6666.7+9500+937.5</f>
        <v>23267.3</v>
      </c>
      <c r="H37" s="19">
        <f>12770.09+12028.58+15000+4274.5</f>
        <v>44073.17</v>
      </c>
      <c r="I37" s="19">
        <v>171389.89999999997</v>
      </c>
      <c r="J37" s="8">
        <f t="shared" si="11"/>
        <v>0.2571515007593797</v>
      </c>
      <c r="K37" s="29"/>
      <c r="L37" s="19">
        <v>18773.41</v>
      </c>
      <c r="M37" s="19">
        <v>43782.59</v>
      </c>
      <c r="N37" s="19">
        <v>236383.90999999997</v>
      </c>
      <c r="O37" s="8">
        <f t="shared" si="12"/>
        <v>0.18521814788493854</v>
      </c>
      <c r="P37" s="29"/>
      <c r="Q37" s="19">
        <v>0</v>
      </c>
      <c r="R37" s="19">
        <v>0</v>
      </c>
      <c r="S37" s="19">
        <v>0</v>
      </c>
      <c r="T37" s="20" t="str">
        <f t="shared" si="13"/>
        <v>%</v>
      </c>
      <c r="U37" s="29"/>
      <c r="V37" s="23">
        <f t="shared" si="14"/>
        <v>42040.71</v>
      </c>
      <c r="W37" s="23">
        <f t="shared" si="15"/>
        <v>87855.76</v>
      </c>
      <c r="X37" s="23">
        <f t="shared" si="16"/>
        <v>407773.80999999994</v>
      </c>
      <c r="Y37" s="8">
        <f t="shared" si="17"/>
        <v>0.21545218904568689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9000</v>
      </c>
      <c r="H38" s="19">
        <v>9000</v>
      </c>
      <c r="I38" s="19">
        <v>13750</v>
      </c>
      <c r="J38" s="8">
        <f t="shared" si="11"/>
        <v>0.65454545454545454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19">
        <v>0</v>
      </c>
      <c r="R38" s="19">
        <v>0</v>
      </c>
      <c r="S38" s="19">
        <v>0</v>
      </c>
      <c r="T38" s="20" t="str">
        <f t="shared" si="13"/>
        <v>%</v>
      </c>
      <c r="U38" s="29"/>
      <c r="V38" s="23">
        <f t="shared" si="14"/>
        <v>9000</v>
      </c>
      <c r="W38" s="23">
        <f t="shared" si="15"/>
        <v>9000</v>
      </c>
      <c r="X38" s="23">
        <f t="shared" si="16"/>
        <v>13750</v>
      </c>
      <c r="Y38" s="8">
        <f t="shared" si="17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19">
        <v>0</v>
      </c>
      <c r="R39" s="19">
        <v>0</v>
      </c>
      <c r="S39" s="19">
        <v>0</v>
      </c>
      <c r="T39" s="20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33329.909999999996</v>
      </c>
      <c r="H40" s="19">
        <v>100791.22000000002</v>
      </c>
      <c r="I40" s="19">
        <v>438855.79</v>
      </c>
      <c r="J40" s="8">
        <f t="shared" si="11"/>
        <v>0.22966820148368106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19">
        <v>0</v>
      </c>
      <c r="R40" s="19">
        <v>0</v>
      </c>
      <c r="S40" s="19">
        <v>0</v>
      </c>
      <c r="T40" s="20" t="str">
        <f t="shared" si="13"/>
        <v>%</v>
      </c>
      <c r="U40" s="29"/>
      <c r="V40" s="23">
        <f t="shared" si="14"/>
        <v>33329.909999999996</v>
      </c>
      <c r="W40" s="23">
        <f t="shared" si="15"/>
        <v>100791.22000000002</v>
      </c>
      <c r="X40" s="23">
        <f t="shared" si="16"/>
        <v>438855.79</v>
      </c>
      <c r="Y40" s="8">
        <f t="shared" si="17"/>
        <v>0.22966820148368106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19">
        <v>0</v>
      </c>
      <c r="R41" s="19">
        <v>0</v>
      </c>
      <c r="S41" s="19">
        <v>0</v>
      </c>
      <c r="T41" s="20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1549.84</v>
      </c>
      <c r="H42" s="19">
        <v>4719.99</v>
      </c>
      <c r="I42" s="19">
        <v>17979</v>
      </c>
      <c r="J42" s="8">
        <f t="shared" si="11"/>
        <v>0.26252794927415318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19">
        <v>0</v>
      </c>
      <c r="R42" s="19">
        <v>0</v>
      </c>
      <c r="S42" s="19">
        <v>0</v>
      </c>
      <c r="T42" s="20" t="str">
        <f t="shared" si="13"/>
        <v>%</v>
      </c>
      <c r="U42" s="29"/>
      <c r="V42" s="23">
        <f t="shared" si="14"/>
        <v>1549.84</v>
      </c>
      <c r="W42" s="23">
        <f t="shared" si="15"/>
        <v>4719.99</v>
      </c>
      <c r="X42" s="23">
        <f t="shared" si="16"/>
        <v>17979</v>
      </c>
      <c r="Y42" s="8">
        <f t="shared" si="17"/>
        <v>0.26252794927415318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19">
        <v>0</v>
      </c>
      <c r="R43" s="19">
        <v>0</v>
      </c>
      <c r="S43" s="19">
        <v>0</v>
      </c>
      <c r="T43" s="20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19">
        <v>0</v>
      </c>
      <c r="R44" s="19">
        <v>0</v>
      </c>
      <c r="S44" s="19">
        <v>0</v>
      </c>
      <c r="T44" s="20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4082</v>
      </c>
      <c r="M45" s="23">
        <v>8208</v>
      </c>
      <c r="N45" s="23">
        <v>0</v>
      </c>
      <c r="O45" s="8" t="str">
        <f t="shared" si="12"/>
        <v>%</v>
      </c>
      <c r="P45" s="29"/>
      <c r="Q45" s="19">
        <v>0</v>
      </c>
      <c r="R45" s="19">
        <v>0</v>
      </c>
      <c r="S45" s="19">
        <v>0</v>
      </c>
      <c r="T45" s="20" t="str">
        <f t="shared" si="13"/>
        <v>%</v>
      </c>
      <c r="U45" s="29"/>
      <c r="V45" s="23">
        <f t="shared" si="14"/>
        <v>4082</v>
      </c>
      <c r="W45" s="23">
        <f t="shared" si="15"/>
        <v>8208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29375.87</v>
      </c>
      <c r="H46" s="19">
        <v>88533.8</v>
      </c>
      <c r="I46" s="19">
        <v>321371.81</v>
      </c>
      <c r="J46" s="8">
        <f t="shared" si="11"/>
        <v>0.27548713746859133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19">
        <v>0</v>
      </c>
      <c r="R46" s="19">
        <v>0</v>
      </c>
      <c r="S46" s="19">
        <v>0</v>
      </c>
      <c r="T46" s="20" t="str">
        <f t="shared" si="13"/>
        <v>%</v>
      </c>
      <c r="U46" s="29"/>
      <c r="V46" s="23">
        <f t="shared" si="14"/>
        <v>29375.87</v>
      </c>
      <c r="W46" s="23">
        <f t="shared" si="15"/>
        <v>88533.8</v>
      </c>
      <c r="X46" s="23">
        <f t="shared" si="16"/>
        <v>321371.81</v>
      </c>
      <c r="Y46" s="8">
        <f t="shared" si="17"/>
        <v>0.27548713746859133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4500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19">
        <v>0</v>
      </c>
      <c r="R47" s="19">
        <v>0</v>
      </c>
      <c r="S47" s="19">
        <v>0</v>
      </c>
      <c r="T47" s="20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4500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19">
        <v>0</v>
      </c>
      <c r="R48" s="19">
        <v>0</v>
      </c>
      <c r="S48" s="19">
        <v>0</v>
      </c>
      <c r="T48" s="20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19">
        <v>0</v>
      </c>
      <c r="R49" s="19">
        <v>0</v>
      </c>
      <c r="S49" s="19">
        <v>0</v>
      </c>
      <c r="T49" s="20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8"/>
      <c r="P50" s="29"/>
      <c r="Q50" s="19">
        <v>0</v>
      </c>
      <c r="R50" s="19">
        <v>0</v>
      </c>
      <c r="S50" s="19">
        <v>0</v>
      </c>
      <c r="T50" s="20"/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156">
        <v>0</v>
      </c>
      <c r="R51" s="19">
        <v>2836.11</v>
      </c>
      <c r="S51" s="19">
        <v>0</v>
      </c>
      <c r="T51" s="20" t="str">
        <f t="shared" si="13"/>
        <v>%</v>
      </c>
      <c r="U51" s="29"/>
      <c r="V51" s="23">
        <f t="shared" si="14"/>
        <v>0</v>
      </c>
      <c r="W51" s="23">
        <f t="shared" si="15"/>
        <v>2836.11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0">
        <f>SUM(G36:G51)</f>
        <v>338122.47000000003</v>
      </c>
      <c r="H52" s="57">
        <f>SUM(H36:H51)</f>
        <v>705130.12</v>
      </c>
      <c r="I52" s="57">
        <f>SUM(I36:I51)</f>
        <v>3654064.56</v>
      </c>
      <c r="J52" s="31">
        <f>IF(I52=0,"",H52/I52)</f>
        <v>0.19297144547440617</v>
      </c>
      <c r="K52" s="29"/>
      <c r="L52" s="57">
        <f>SUM(L36:L51)</f>
        <v>45322.829999999994</v>
      </c>
      <c r="M52" s="57">
        <f>SUM(M36:M51)</f>
        <v>101199.93999999999</v>
      </c>
      <c r="N52" s="57">
        <f>SUM(N36:N51)</f>
        <v>374319.89999999997</v>
      </c>
      <c r="O52" s="31">
        <f>IF(N52=0,"",M52/N52)</f>
        <v>0.27035682580594833</v>
      </c>
      <c r="P52" s="29"/>
      <c r="Q52" s="157">
        <v>0</v>
      </c>
      <c r="R52" s="70">
        <f>SUM(R36:R51)</f>
        <v>2836.11</v>
      </c>
      <c r="S52" s="70">
        <f>SUM(S36:S51)</f>
        <v>0</v>
      </c>
      <c r="T52" s="150" t="str">
        <f>IF(S52=0,"",R52/S52)</f>
        <v/>
      </c>
      <c r="U52" s="29"/>
      <c r="V52" s="57">
        <f>SUM(V36:V51)</f>
        <v>383445.30000000005</v>
      </c>
      <c r="W52" s="57">
        <f>SUM(W36:W51)</f>
        <v>809166.16999999993</v>
      </c>
      <c r="X52" s="57">
        <f>SUM(X36:X51)</f>
        <v>4028384.46</v>
      </c>
      <c r="Y52" s="31">
        <f>IF(X52=0,"",W52/X52)</f>
        <v>0.2008661730365229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146">
        <f>G32-G52</f>
        <v>23128.409999999974</v>
      </c>
      <c r="H53" s="58">
        <f>H32-H52</f>
        <v>321533.72000000009</v>
      </c>
      <c r="I53" s="58">
        <f>I32-I52</f>
        <v>333352.43999999994</v>
      </c>
      <c r="J53" s="31">
        <f>IF(I53=0,"",H53/I53)</f>
        <v>0.96454587223060417</v>
      </c>
      <c r="K53" s="29"/>
      <c r="L53" s="58">
        <f>L32-L52</f>
        <v>-45322.829999999994</v>
      </c>
      <c r="M53" s="58">
        <f>M32-M52</f>
        <v>4871.1900000000169</v>
      </c>
      <c r="N53" s="58">
        <f>N32-N52</f>
        <v>0</v>
      </c>
      <c r="O53" s="31" t="str">
        <f>IF(N53=0,"",M53/N53)</f>
        <v/>
      </c>
      <c r="P53" s="29"/>
      <c r="Q53" s="157">
        <v>0</v>
      </c>
      <c r="R53" s="146">
        <f>R32-R52</f>
        <v>2084.7099999999996</v>
      </c>
      <c r="S53" s="146">
        <f>S32-S52</f>
        <v>0</v>
      </c>
      <c r="T53" s="150" t="str">
        <f>IF(S53=0,"",R53/S53)</f>
        <v/>
      </c>
      <c r="U53" s="29"/>
      <c r="V53" s="58">
        <f>V32-V52</f>
        <v>-17886.250000000058</v>
      </c>
      <c r="W53" s="58">
        <f>W32-W52</f>
        <v>328489.62000000011</v>
      </c>
      <c r="X53" s="58">
        <f>X32-X52</f>
        <v>333352.44000000041</v>
      </c>
      <c r="Y53" s="31">
        <f>IF(X53=0,"",W53/X53)</f>
        <v>0.98541237616259747</v>
      </c>
    </row>
    <row r="54" spans="1:25" x14ac:dyDescent="0.2">
      <c r="A54" s="3"/>
      <c r="B54" s="3"/>
      <c r="C54" s="5"/>
      <c r="D54" s="5"/>
      <c r="E54" s="5"/>
      <c r="F54" s="5"/>
      <c r="G54" s="68"/>
      <c r="H54" s="59"/>
      <c r="I54" s="59"/>
      <c r="J54" s="8"/>
      <c r="K54" s="29"/>
      <c r="L54" s="59"/>
      <c r="M54" s="59"/>
      <c r="N54" s="59"/>
      <c r="O54" s="8"/>
      <c r="P54" s="29"/>
      <c r="Q54" s="68"/>
      <c r="R54" s="68"/>
      <c r="S54" s="68"/>
      <c r="T54" s="20"/>
      <c r="U54" s="29"/>
      <c r="V54" s="59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68"/>
      <c r="H55" s="59"/>
      <c r="I55" s="59"/>
      <c r="J55" s="8"/>
      <c r="K55" s="29"/>
      <c r="L55" s="59"/>
      <c r="M55" s="59"/>
      <c r="N55" s="59"/>
      <c r="O55" s="8"/>
      <c r="P55" s="29"/>
      <c r="Q55" s="68"/>
      <c r="R55" s="68"/>
      <c r="S55" s="68"/>
      <c r="T55" s="20"/>
      <c r="U55" s="29"/>
      <c r="V55" s="59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201417</v>
      </c>
      <c r="J56" s="8">
        <f>IF(I56=0,"%",H56/I56)</f>
        <v>0</v>
      </c>
      <c r="K56" s="29"/>
      <c r="L56" s="67">
        <v>0</v>
      </c>
      <c r="M56" s="67">
        <v>0</v>
      </c>
      <c r="N56" s="67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201417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36152.619999999995</v>
      </c>
      <c r="H57" s="19">
        <v>105064.83</v>
      </c>
      <c r="I57" s="19">
        <v>534771</v>
      </c>
      <c r="J57" s="8">
        <f>IF(I57=0,"%",H57/I57)</f>
        <v>0.19646695501438935</v>
      </c>
      <c r="K57" s="29"/>
      <c r="L57" s="66">
        <v>0</v>
      </c>
      <c r="M57" s="66">
        <v>0</v>
      </c>
      <c r="N57" s="66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9"/>
      <c r="V57" s="66">
        <f t="shared" si="18"/>
        <v>36152.619999999995</v>
      </c>
      <c r="W57" s="66">
        <f t="shared" si="18"/>
        <v>105064.83</v>
      </c>
      <c r="X57" s="59">
        <f t="shared" si="18"/>
        <v>534771</v>
      </c>
      <c r="Y57" s="8">
        <f>IF(X57=0,"%",W57/X57)</f>
        <v>0.19646695501438935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70">
        <f>SUM(G56:G57)</f>
        <v>36152.619999999995</v>
      </c>
      <c r="H58" s="57">
        <f>SUM(H56-H57)</f>
        <v>-105064.83</v>
      </c>
      <c r="I58" s="57">
        <f>SUM(I56:I57)</f>
        <v>736188</v>
      </c>
      <c r="J58" s="31">
        <f>IF(I58=0,"",H58/I58)</f>
        <v>-0.14271467342580971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70">
        <f>SUM(Q56:Q57)</f>
        <v>0</v>
      </c>
      <c r="R58" s="70">
        <f>SUM(R56:R57)</f>
        <v>0</v>
      </c>
      <c r="S58" s="70">
        <f>SUM(S56:S57)</f>
        <v>0</v>
      </c>
      <c r="T58" s="150" t="str">
        <f>IF(S58=0,"",R58/S58)</f>
        <v/>
      </c>
      <c r="U58" s="29"/>
      <c r="V58" s="57">
        <f>SUM(V56:V57)</f>
        <v>36152.619999999995</v>
      </c>
      <c r="W58" s="57">
        <f>W56-W57</f>
        <v>-105064.83</v>
      </c>
      <c r="X58" s="57">
        <f>SUM(X56:X57)</f>
        <v>736188</v>
      </c>
      <c r="Y58" s="31">
        <f>IF(X58=0,"",W58/X58)</f>
        <v>-0.14271467342580971</v>
      </c>
    </row>
    <row r="59" spans="1:25" x14ac:dyDescent="0.2">
      <c r="A59" s="3"/>
      <c r="B59" s="3"/>
      <c r="C59" s="5"/>
      <c r="D59" s="5"/>
      <c r="E59" s="74"/>
      <c r="F59" s="5"/>
      <c r="G59" s="28"/>
      <c r="H59" s="29"/>
      <c r="I59" s="29"/>
      <c r="J59" s="8"/>
      <c r="K59" s="29"/>
      <c r="L59" s="29"/>
      <c r="M59" s="29"/>
      <c r="N59" s="29"/>
      <c r="O59" s="8"/>
      <c r="P59" s="29"/>
      <c r="Q59" s="28"/>
      <c r="R59" s="28"/>
      <c r="S59" s="28"/>
      <c r="T59" s="20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68"/>
      <c r="H60" s="59">
        <f>H53+H58</f>
        <v>216468.89000000007</v>
      </c>
      <c r="I60" s="59"/>
      <c r="J60" s="8" t="str">
        <f>IF(I60=0,"",H60/I60)</f>
        <v/>
      </c>
      <c r="K60" s="29"/>
      <c r="L60" s="59"/>
      <c r="M60" s="59">
        <f>M32-M52+M58</f>
        <v>4871.1900000000169</v>
      </c>
      <c r="N60" s="59"/>
      <c r="O60" s="29"/>
      <c r="P60" s="29"/>
      <c r="Q60" s="68"/>
      <c r="R60" s="68">
        <f>R32-R52+R58</f>
        <v>2084.7099999999996</v>
      </c>
      <c r="S60" s="68">
        <f>S32-S52+S58</f>
        <v>0</v>
      </c>
      <c r="T60" s="28"/>
      <c r="U60" s="29">
        <f>U32-U52+U58</f>
        <v>0</v>
      </c>
      <c r="V60" s="59"/>
      <c r="W60" s="59">
        <f>W32-W52+W58</f>
        <v>223424.7900000001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68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68"/>
      <c r="R61" s="68"/>
      <c r="S61" s="68"/>
      <c r="T61" s="20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68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68"/>
      <c r="R62" s="68"/>
      <c r="S62" s="68"/>
      <c r="T62" s="20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70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70">
        <f>SUM(Q61:Q62)</f>
        <v>0</v>
      </c>
      <c r="R63" s="70">
        <f>SUM(R61:R62)</f>
        <v>0</v>
      </c>
      <c r="S63" s="70">
        <f>SUM(S61:S62)</f>
        <v>0</v>
      </c>
      <c r="T63" s="150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8"/>
      <c r="H64" s="29"/>
      <c r="I64" s="29"/>
      <c r="J64" s="8"/>
      <c r="K64" s="29"/>
      <c r="L64" s="29"/>
      <c r="M64" s="29"/>
      <c r="N64" s="29"/>
      <c r="O64" s="8"/>
      <c r="P64" s="29"/>
      <c r="Q64" s="28"/>
      <c r="R64" s="28"/>
      <c r="S64" s="28"/>
      <c r="T64" s="20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148">
        <f>G63+G60</f>
        <v>0</v>
      </c>
      <c r="H65" s="65">
        <f>H63+H60</f>
        <v>216468.89000000007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4871.1900000000169</v>
      </c>
      <c r="N65" s="65">
        <f>N63+N60</f>
        <v>0</v>
      </c>
      <c r="O65" s="38" t="str">
        <f>IF(N65=0,"%",M65/N65)</f>
        <v>%</v>
      </c>
      <c r="P65" s="39"/>
      <c r="Q65" s="148">
        <f>Q63+Q60</f>
        <v>0</v>
      </c>
      <c r="R65" s="148">
        <f>R63+R60</f>
        <v>2084.7099999999996</v>
      </c>
      <c r="S65" s="148">
        <f>S63+S60</f>
        <v>0</v>
      </c>
      <c r="T65" s="151" t="str">
        <f>IF(S65=0,"%",R65/S65)</f>
        <v>%</v>
      </c>
      <c r="U65" s="39"/>
      <c r="V65" s="65">
        <f>V63+V60</f>
        <v>0</v>
      </c>
      <c r="W65" s="65">
        <f>W63+W60</f>
        <v>223424.7900000001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 codeName="Sheet4">
    <pageSetUpPr fitToPage="1"/>
  </sheetPr>
  <dimension ref="A1:Z67"/>
  <sheetViews>
    <sheetView topLeftCell="D19" zoomScale="80" zoomScaleNormal="80" zoomScaleSheetLayoutView="80" zoomScalePageLayoutView="40" workbookViewId="0">
      <selection activeCell="L12" sqref="L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18.42578125" style="149" bestFit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3.42578125" style="149" customWidth="1"/>
    <col min="21" max="21" width="2.42578125" style="4" customWidth="1"/>
    <col min="22" max="22" width="16.7109375" style="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5" t="s">
        <v>53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6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6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6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6" ht="23.25" x14ac:dyDescent="0.35">
      <c r="A5" s="3"/>
      <c r="B5" s="3"/>
      <c r="C5" s="52"/>
      <c r="D5" s="52"/>
      <c r="E5" s="52"/>
      <c r="F5" s="52"/>
      <c r="G5" s="145"/>
      <c r="H5" s="52"/>
      <c r="I5" s="52"/>
      <c r="J5" s="52"/>
      <c r="K5" s="52"/>
      <c r="L5" s="52"/>
      <c r="M5" s="52"/>
      <c r="N5" s="52"/>
      <c r="O5" s="52"/>
      <c r="P5" s="52"/>
      <c r="Q5" s="145"/>
      <c r="R5" s="145"/>
      <c r="S5" s="145"/>
      <c r="T5" s="145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145"/>
      <c r="H6" s="52"/>
      <c r="I6" s="52"/>
      <c r="J6" s="52"/>
      <c r="K6" s="52"/>
      <c r="L6" s="52"/>
      <c r="M6" s="52"/>
      <c r="N6" s="52"/>
      <c r="O6" s="52"/>
      <c r="P6" s="52"/>
      <c r="Q6" s="145"/>
      <c r="R6" s="145"/>
      <c r="S6" s="145"/>
      <c r="T6" s="145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20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17"/>
      <c r="R10" s="17"/>
      <c r="S10" s="17"/>
      <c r="T10" s="17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6" t="s">
        <v>5</v>
      </c>
      <c r="H11" s="127"/>
      <c r="I11" s="127"/>
      <c r="J11" s="128"/>
      <c r="K11" s="9"/>
      <c r="L11" s="126" t="s">
        <v>7</v>
      </c>
      <c r="M11" s="127"/>
      <c r="N11" s="127"/>
      <c r="O11" s="128"/>
      <c r="P11" s="9"/>
      <c r="Q11" s="130" t="s">
        <v>8</v>
      </c>
      <c r="R11" s="131"/>
      <c r="S11" s="131"/>
      <c r="T11" s="132"/>
      <c r="U11" s="9"/>
      <c r="V11" s="126" t="s">
        <v>9</v>
      </c>
      <c r="W11" s="127"/>
      <c r="X11" s="127"/>
      <c r="Y11" s="129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17"/>
      <c r="H13" s="5"/>
      <c r="I13" s="5"/>
      <c r="J13" s="5"/>
      <c r="K13" s="5"/>
      <c r="L13" s="5"/>
      <c r="M13" s="5"/>
      <c r="N13" s="5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17"/>
      <c r="H14" s="5"/>
      <c r="I14" s="5"/>
      <c r="J14" s="5"/>
      <c r="K14" s="5"/>
      <c r="L14" s="5"/>
      <c r="M14" s="5"/>
      <c r="N14" s="5"/>
      <c r="O14" s="5"/>
      <c r="P14" s="5"/>
      <c r="Q14" s="17"/>
      <c r="R14" s="17"/>
      <c r="S14" s="17"/>
      <c r="T14" s="17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17"/>
      <c r="R15" s="17"/>
      <c r="S15" s="17"/>
      <c r="T15" s="17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0</v>
      </c>
      <c r="M17" s="23">
        <v>39470.17</v>
      </c>
      <c r="N17" s="19">
        <v>218997.22</v>
      </c>
      <c r="O17" s="8">
        <f>IF(N17=0,"%",M17/N17)</f>
        <v>0.18023137462658201</v>
      </c>
      <c r="P17" s="26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6"/>
      <c r="V17" s="23">
        <f t="shared" si="1"/>
        <v>0</v>
      </c>
      <c r="W17" s="23">
        <f t="shared" si="1"/>
        <v>39470.17</v>
      </c>
      <c r="X17" s="23">
        <f t="shared" si="1"/>
        <v>218997.22</v>
      </c>
      <c r="Y17" s="8">
        <f>IF(X17=0,"%",W17/X17)</f>
        <v>0.18023137462658201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19"/>
      <c r="R18" s="19"/>
      <c r="S18" s="19"/>
      <c r="T18" s="20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274461.61</v>
      </c>
      <c r="H19" s="23">
        <v>841317.98</v>
      </c>
      <c r="I19" s="19">
        <v>3220704</v>
      </c>
      <c r="J19" s="20">
        <f t="shared" si="2"/>
        <v>0.26122176393732549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6"/>
      <c r="V19" s="23">
        <f t="shared" ref="V19:X24" si="5">G19+L19+Q19</f>
        <v>274461.61</v>
      </c>
      <c r="W19" s="23">
        <f t="shared" si="5"/>
        <v>841317.98</v>
      </c>
      <c r="X19" s="23">
        <f t="shared" si="5"/>
        <v>3220704</v>
      </c>
      <c r="Y19" s="8">
        <f t="shared" ref="Y19:Y24" si="6">IF(X19=0,"%",W19/X19)</f>
        <v>0.26122176393732549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5035.55</v>
      </c>
      <c r="H21" s="23">
        <v>15106.65</v>
      </c>
      <c r="I21" s="19">
        <v>55391</v>
      </c>
      <c r="J21" s="20">
        <f t="shared" si="2"/>
        <v>0.27272751891101443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20" t="str">
        <f t="shared" si="4"/>
        <v>%</v>
      </c>
      <c r="U21" s="26"/>
      <c r="V21" s="23">
        <f t="shared" si="5"/>
        <v>5035.55</v>
      </c>
      <c r="W21" s="23">
        <f t="shared" si="5"/>
        <v>15106.65</v>
      </c>
      <c r="X21" s="23">
        <f t="shared" si="5"/>
        <v>55391</v>
      </c>
      <c r="Y21" s="8">
        <f>IF(X21=0,"%",W21/X21)</f>
        <v>0.27272751891101443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43594.91</v>
      </c>
      <c r="H22" s="23">
        <v>130784.73</v>
      </c>
      <c r="I22" s="19">
        <v>479340</v>
      </c>
      <c r="J22" s="20">
        <f t="shared" si="2"/>
        <v>0.2728433471022656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f t="shared" si="5"/>
        <v>43594.91</v>
      </c>
      <c r="W22" s="23">
        <f t="shared" si="5"/>
        <v>130784.73</v>
      </c>
      <c r="X22" s="23">
        <f t="shared" si="5"/>
        <v>479340</v>
      </c>
      <c r="Y22" s="8">
        <f t="shared" si="6"/>
        <v>0.2728433471022656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19">
        <v>0</v>
      </c>
      <c r="R23" s="19">
        <v>0</v>
      </c>
      <c r="S23" s="19">
        <v>0</v>
      </c>
      <c r="T23" s="20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19">
        <v>0</v>
      </c>
      <c r="R24" s="19">
        <v>0</v>
      </c>
      <c r="S24" s="19">
        <v>0</v>
      </c>
      <c r="T24" s="20" t="str">
        <f t="shared" si="4"/>
        <v>%</v>
      </c>
      <c r="U24" s="26"/>
      <c r="V24" s="23">
        <f t="shared" si="5"/>
        <v>0</v>
      </c>
      <c r="W24" s="23">
        <f t="shared" si="5"/>
        <v>8700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19"/>
      <c r="R25" s="19"/>
      <c r="S25" s="19"/>
      <c r="T25" s="20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17867.509999999998</v>
      </c>
      <c r="H27" s="23">
        <v>53051.93</v>
      </c>
      <c r="I27" s="19">
        <v>190486</v>
      </c>
      <c r="J27" s="20">
        <f t="shared" si="2"/>
        <v>0.27850828932309984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19">
        <v>0</v>
      </c>
      <c r="R27" s="19">
        <v>0</v>
      </c>
      <c r="S27" s="19">
        <v>0</v>
      </c>
      <c r="T27" s="20" t="str">
        <f t="shared" si="8"/>
        <v>%</v>
      </c>
      <c r="U27" s="29"/>
      <c r="V27" s="23">
        <f t="shared" si="9"/>
        <v>17867.509999999998</v>
      </c>
      <c r="W27" s="23">
        <f t="shared" si="9"/>
        <v>53051.93</v>
      </c>
      <c r="X27" s="23">
        <f t="shared" si="9"/>
        <v>190486</v>
      </c>
      <c r="Y27" s="8">
        <f t="shared" si="10"/>
        <v>0.27850828932309984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19">
        <v>0</v>
      </c>
      <c r="R28" s="19">
        <v>0</v>
      </c>
      <c r="S28" s="19">
        <v>0</v>
      </c>
      <c r="T28" s="20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19">
        <v>0</v>
      </c>
      <c r="R29" s="19">
        <v>0</v>
      </c>
      <c r="S29" s="19">
        <v>0</v>
      </c>
      <c r="T29" s="20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79593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897.9</v>
      </c>
      <c r="H30" s="23">
        <v>1554.6200000000001</v>
      </c>
      <c r="I30" s="19">
        <v>83257</v>
      </c>
      <c r="J30" s="20">
        <f t="shared" si="2"/>
        <v>1.8672544050350123E-2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19">
        <v>0</v>
      </c>
      <c r="T30" s="20" t="str">
        <f t="shared" si="8"/>
        <v>%</v>
      </c>
      <c r="U30" s="29"/>
      <c r="V30" s="23">
        <f t="shared" si="9"/>
        <v>897.9</v>
      </c>
      <c r="W30" s="23">
        <f t="shared" si="9"/>
        <v>1554.6200000000001</v>
      </c>
      <c r="X30" s="23">
        <f t="shared" si="9"/>
        <v>83257</v>
      </c>
      <c r="Y30" s="8">
        <f t="shared" si="10"/>
        <v>1.8672544050350123E-2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6337.33</v>
      </c>
      <c r="R31" s="19">
        <v>21222.35</v>
      </c>
      <c r="S31" s="19">
        <v>0</v>
      </c>
      <c r="T31" s="20" t="str">
        <f t="shared" si="8"/>
        <v>%</v>
      </c>
      <c r="U31" s="29"/>
      <c r="V31" s="23">
        <f t="shared" si="9"/>
        <v>6337.33</v>
      </c>
      <c r="W31" s="23">
        <f t="shared" si="9"/>
        <v>21222.35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70">
        <f>SUM(G16:G31)</f>
        <v>341857.48</v>
      </c>
      <c r="H32" s="70">
        <f>SUM(H16:H31)</f>
        <v>1050515.9100000001</v>
      </c>
      <c r="I32" s="57">
        <f>SUM(I16:I31)</f>
        <v>4108771</v>
      </c>
      <c r="J32" s="31">
        <f>IF(I32=0,"",H32/I32)</f>
        <v>0.25567643219833869</v>
      </c>
      <c r="K32" s="29"/>
      <c r="L32" s="57">
        <f>SUM(L16:L31)</f>
        <v>0</v>
      </c>
      <c r="M32" s="57">
        <f>SUM(M16:M31)</f>
        <v>39470.17</v>
      </c>
      <c r="N32" s="57">
        <f>SUM(N16:N31)</f>
        <v>218997.22</v>
      </c>
      <c r="O32" s="31">
        <f>IF(N32=0,"",M32/N32)</f>
        <v>0.18023137462658201</v>
      </c>
      <c r="P32" s="29"/>
      <c r="Q32" s="70">
        <f>SUM(Q16:Q31)</f>
        <v>6337.33</v>
      </c>
      <c r="R32" s="70">
        <f>SUM(R16:R31)</f>
        <v>21222.35</v>
      </c>
      <c r="S32" s="70">
        <f>SUM(S16:S31)</f>
        <v>0</v>
      </c>
      <c r="T32" s="150" t="str">
        <f>IF(S32=0,"",R32/S32)</f>
        <v/>
      </c>
      <c r="U32" s="29"/>
      <c r="V32" s="57">
        <f>SUM(V16:V31)</f>
        <v>348194.81</v>
      </c>
      <c r="W32" s="57">
        <f>SUM(W16:W31)</f>
        <v>1111208.4300000002</v>
      </c>
      <c r="X32" s="57">
        <f>SUM(X16:X31)</f>
        <v>4327768.2200000007</v>
      </c>
      <c r="Y32" s="31">
        <f>IF(X32=0,"",W32/X32)</f>
        <v>0.2567624635868323</v>
      </c>
    </row>
    <row r="33" spans="1:25" x14ac:dyDescent="0.2">
      <c r="A33" s="3"/>
      <c r="B33" s="3"/>
      <c r="C33" s="5"/>
      <c r="D33" s="5"/>
      <c r="E33" s="5"/>
      <c r="F33" s="5"/>
      <c r="G33" s="28"/>
      <c r="H33" s="29"/>
      <c r="I33" s="29"/>
      <c r="J33" s="8"/>
      <c r="K33" s="29"/>
      <c r="L33" s="29"/>
      <c r="M33" s="29"/>
      <c r="N33" s="29"/>
      <c r="O33" s="8"/>
      <c r="P33" s="29"/>
      <c r="Q33" s="28"/>
      <c r="R33" s="28"/>
      <c r="S33" s="28"/>
      <c r="T33" s="20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8"/>
      <c r="H34" s="29"/>
      <c r="I34" s="29"/>
      <c r="J34" s="8"/>
      <c r="K34" s="29"/>
      <c r="L34" s="29"/>
      <c r="M34" s="29"/>
      <c r="N34" s="29"/>
      <c r="O34" s="8"/>
      <c r="P34" s="29"/>
      <c r="Q34" s="28"/>
      <c r="R34" s="28"/>
      <c r="S34" s="28"/>
      <c r="T34" s="20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8"/>
      <c r="H35" s="29"/>
      <c r="I35" s="29"/>
      <c r="J35" s="8"/>
      <c r="K35" s="29"/>
      <c r="L35" s="29"/>
      <c r="M35" s="29"/>
      <c r="N35" s="29"/>
      <c r="O35" s="8"/>
      <c r="P35" s="29"/>
      <c r="Q35" s="28"/>
      <c r="R35" s="28"/>
      <c r="S35" s="28"/>
      <c r="T35" s="20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239072.42999999993</v>
      </c>
      <c r="H36" s="23">
        <v>473123.36000000004</v>
      </c>
      <c r="I36" s="19">
        <v>2985676.4399999995</v>
      </c>
      <c r="J36" s="8">
        <f t="shared" ref="J36:J51" si="11">IF(I36=0,"%",H36/I36)</f>
        <v>0.15846437800875707</v>
      </c>
      <c r="K36" s="29"/>
      <c r="L36" s="23">
        <v>8870.4800000000014</v>
      </c>
      <c r="M36" s="23">
        <v>17745.77</v>
      </c>
      <c r="N36" s="19">
        <v>110933.23</v>
      </c>
      <c r="O36" s="8">
        <f t="shared" ref="O36:O51" si="12">IF(N36=0,"%",M36/N36)</f>
        <v>0.15996802761444881</v>
      </c>
      <c r="P36" s="29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9"/>
      <c r="V36" s="23">
        <f t="shared" ref="V36:V51" si="14">G36+L36+Q36</f>
        <v>247942.90999999995</v>
      </c>
      <c r="W36" s="23">
        <f t="shared" ref="W36:W51" si="15">H36+M36+R36</f>
        <v>490869.13000000006</v>
      </c>
      <c r="X36" s="23">
        <f t="shared" ref="X36:X51" si="16">I36+N36+S36</f>
        <v>3096609.6699999995</v>
      </c>
      <c r="Y36" s="8">
        <f t="shared" ref="Y36:Y51" si="17">IF(X36=0,"%",W36/X36)</f>
        <v>0.15851824489070984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16210.860000000004</v>
      </c>
      <c r="H37" s="23">
        <v>34173.9</v>
      </c>
      <c r="I37" s="19">
        <v>148025.24</v>
      </c>
      <c r="J37" s="8">
        <f t="shared" si="11"/>
        <v>0.23086535782681389</v>
      </c>
      <c r="K37" s="29"/>
      <c r="L37" s="23">
        <v>8071.1</v>
      </c>
      <c r="M37" s="23">
        <v>16136.919999999998</v>
      </c>
      <c r="N37" s="23">
        <v>108063.99</v>
      </c>
      <c r="O37" s="8">
        <f t="shared" si="12"/>
        <v>0.1493274494121492</v>
      </c>
      <c r="P37" s="29"/>
      <c r="Q37" s="19">
        <v>0</v>
      </c>
      <c r="R37" s="19">
        <v>0</v>
      </c>
      <c r="S37" s="19">
        <v>0</v>
      </c>
      <c r="T37" s="20" t="str">
        <f t="shared" si="13"/>
        <v>%</v>
      </c>
      <c r="U37" s="29"/>
      <c r="V37" s="23">
        <f t="shared" si="14"/>
        <v>24281.960000000006</v>
      </c>
      <c r="W37" s="23">
        <f t="shared" si="15"/>
        <v>50310.82</v>
      </c>
      <c r="X37" s="23">
        <f t="shared" si="16"/>
        <v>256089.22999999998</v>
      </c>
      <c r="Y37" s="8">
        <f t="shared" si="17"/>
        <v>0.19645816421096662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9000</v>
      </c>
      <c r="H38" s="23">
        <v>9000</v>
      </c>
      <c r="I38" s="19">
        <v>13750</v>
      </c>
      <c r="J38" s="8">
        <f t="shared" si="11"/>
        <v>0.65454545454545454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19">
        <v>0</v>
      </c>
      <c r="R38" s="19">
        <v>0</v>
      </c>
      <c r="S38" s="19">
        <v>0</v>
      </c>
      <c r="T38" s="20" t="str">
        <f t="shared" si="13"/>
        <v>%</v>
      </c>
      <c r="U38" s="29"/>
      <c r="V38" s="23">
        <f t="shared" si="14"/>
        <v>9000</v>
      </c>
      <c r="W38" s="23">
        <f t="shared" si="15"/>
        <v>9000</v>
      </c>
      <c r="X38" s="23">
        <f t="shared" si="16"/>
        <v>13750</v>
      </c>
      <c r="Y38" s="8">
        <f t="shared" si="17"/>
        <v>0.65454545454545454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19">
        <v>0</v>
      </c>
      <c r="R39" s="19">
        <v>0</v>
      </c>
      <c r="S39" s="19">
        <v>0</v>
      </c>
      <c r="T39" s="20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33537.789999999994</v>
      </c>
      <c r="H40" s="23">
        <v>100097.82</v>
      </c>
      <c r="I40" s="19">
        <v>415645.23</v>
      </c>
      <c r="J40" s="8">
        <f t="shared" si="11"/>
        <v>0.24082513830364422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19">
        <v>0</v>
      </c>
      <c r="R40" s="19">
        <v>0</v>
      </c>
      <c r="S40" s="19">
        <v>0</v>
      </c>
      <c r="T40" s="20" t="str">
        <f t="shared" si="13"/>
        <v>%</v>
      </c>
      <c r="U40" s="29"/>
      <c r="V40" s="23">
        <f t="shared" si="14"/>
        <v>33537.789999999994</v>
      </c>
      <c r="W40" s="23">
        <f t="shared" si="15"/>
        <v>100097.82</v>
      </c>
      <c r="X40" s="23">
        <f t="shared" si="16"/>
        <v>415645.23</v>
      </c>
      <c r="Y40" s="8">
        <f t="shared" si="17"/>
        <v>0.24082513830364422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19">
        <v>0</v>
      </c>
      <c r="R41" s="19">
        <v>0</v>
      </c>
      <c r="S41" s="19">
        <v>0</v>
      </c>
      <c r="T41" s="20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1665.82</v>
      </c>
      <c r="H42" s="23">
        <v>5073.2</v>
      </c>
      <c r="I42" s="19">
        <v>18525</v>
      </c>
      <c r="J42" s="8">
        <f t="shared" si="11"/>
        <v>0.27385695006747635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19">
        <v>0</v>
      </c>
      <c r="R42" s="19">
        <v>0</v>
      </c>
      <c r="S42" s="19">
        <v>0</v>
      </c>
      <c r="T42" s="20" t="str">
        <f t="shared" si="13"/>
        <v>%</v>
      </c>
      <c r="U42" s="29"/>
      <c r="V42" s="23">
        <f t="shared" si="14"/>
        <v>1665.82</v>
      </c>
      <c r="W42" s="23">
        <f t="shared" si="15"/>
        <v>5073.2</v>
      </c>
      <c r="X42" s="23">
        <f t="shared" si="16"/>
        <v>18525</v>
      </c>
      <c r="Y42" s="8">
        <f t="shared" si="17"/>
        <v>0.27385695006747635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19">
        <v>0</v>
      </c>
      <c r="R43" s="19">
        <v>0</v>
      </c>
      <c r="S43" s="19">
        <v>0</v>
      </c>
      <c r="T43" s="20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19">
        <v>0</v>
      </c>
      <c r="R44" s="19">
        <v>0</v>
      </c>
      <c r="S44" s="19">
        <v>0</v>
      </c>
      <c r="T44" s="20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19">
        <v>0</v>
      </c>
      <c r="R45" s="19">
        <v>0</v>
      </c>
      <c r="S45" s="19">
        <v>0</v>
      </c>
      <c r="T45" s="20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17935.449999999997</v>
      </c>
      <c r="H46" s="23">
        <v>72214.83</v>
      </c>
      <c r="I46" s="19">
        <v>170665.9</v>
      </c>
      <c r="J46" s="8">
        <f t="shared" si="11"/>
        <v>0.42313567033601912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19">
        <v>0</v>
      </c>
      <c r="R46" s="19">
        <v>0</v>
      </c>
      <c r="S46" s="19">
        <v>0</v>
      </c>
      <c r="T46" s="20" t="str">
        <f t="shared" si="13"/>
        <v>%</v>
      </c>
      <c r="U46" s="29"/>
      <c r="V46" s="23">
        <f t="shared" si="14"/>
        <v>17935.449999999997</v>
      </c>
      <c r="W46" s="23">
        <f t="shared" si="15"/>
        <v>72214.83</v>
      </c>
      <c r="X46" s="23">
        <f t="shared" si="16"/>
        <v>170665.9</v>
      </c>
      <c r="Y46" s="8">
        <f t="shared" si="17"/>
        <v>0.42313567033601912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19">
        <v>0</v>
      </c>
      <c r="R47" s="19">
        <v>0</v>
      </c>
      <c r="S47" s="19">
        <v>0</v>
      </c>
      <c r="T47" s="20" t="str">
        <f t="shared" si="13"/>
        <v>%</v>
      </c>
      <c r="U47" s="29"/>
      <c r="V47" s="23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19">
        <v>0</v>
      </c>
      <c r="R48" s="19">
        <v>0</v>
      </c>
      <c r="S48" s="19">
        <v>0</v>
      </c>
      <c r="T48" s="20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19">
        <v>0</v>
      </c>
      <c r="R49" s="19">
        <v>0</v>
      </c>
      <c r="S49" s="19">
        <v>0</v>
      </c>
      <c r="T49" s="20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19">
        <v>0</v>
      </c>
      <c r="R50" s="19">
        <v>0</v>
      </c>
      <c r="S50" s="19">
        <v>0</v>
      </c>
      <c r="T50" s="20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19">
        <v>6518.39</v>
      </c>
      <c r="R51" s="19">
        <v>16365.51</v>
      </c>
      <c r="S51" s="19">
        <v>0</v>
      </c>
      <c r="T51" s="20" t="str">
        <f t="shared" si="13"/>
        <v>%</v>
      </c>
      <c r="U51" s="29"/>
      <c r="V51" s="23">
        <f t="shared" si="14"/>
        <v>6518.39</v>
      </c>
      <c r="W51" s="23">
        <f t="shared" si="15"/>
        <v>16365.51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0">
        <f>SUM(G36:G51)</f>
        <v>317422.34999999992</v>
      </c>
      <c r="H52" s="57">
        <f>SUM(H36:H51)</f>
        <v>710183.11</v>
      </c>
      <c r="I52" s="57">
        <f>SUM(I36:I51)</f>
        <v>3768787.8099999996</v>
      </c>
      <c r="J52" s="31">
        <f>IF(I52=0,"",H52/I52)</f>
        <v>0.1884380723466626</v>
      </c>
      <c r="K52" s="29"/>
      <c r="L52" s="57">
        <f>SUM(L36:L50)</f>
        <v>16941.580000000002</v>
      </c>
      <c r="M52" s="57">
        <f>SUM(M36:M50)</f>
        <v>33882.69</v>
      </c>
      <c r="N52" s="57">
        <f>SUM(N36:N50)</f>
        <v>218997.22</v>
      </c>
      <c r="O52" s="31">
        <f>IF(N52=0,"",M52/N52)</f>
        <v>0.15471744344517252</v>
      </c>
      <c r="P52" s="29"/>
      <c r="Q52" s="70">
        <f>SUM(Q36:Q51)</f>
        <v>6518.39</v>
      </c>
      <c r="R52" s="70">
        <f>SUM(R36:R51)</f>
        <v>16365.51</v>
      </c>
      <c r="S52" s="70">
        <f>SUM(S36:S51)</f>
        <v>0</v>
      </c>
      <c r="T52" s="150" t="str">
        <f>IF(S52=0,"",R52/S52)</f>
        <v/>
      </c>
      <c r="U52" s="29"/>
      <c r="V52" s="57">
        <f>SUM(V36:V51)</f>
        <v>340882.31999999995</v>
      </c>
      <c r="W52" s="57">
        <f>SUM(W36:W51)</f>
        <v>760431.30999999994</v>
      </c>
      <c r="X52" s="57">
        <f>SUM(X36:X51)</f>
        <v>3987785.0299999993</v>
      </c>
      <c r="Y52" s="31">
        <f>IF(X52=0,"",W52/X52)</f>
        <v>0.19069014610348745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146">
        <f>G32-G52</f>
        <v>24435.130000000063</v>
      </c>
      <c r="H53" s="58">
        <f>H32-H52</f>
        <v>340332.80000000016</v>
      </c>
      <c r="I53" s="58">
        <f>I32-I52</f>
        <v>339983.19000000041</v>
      </c>
      <c r="J53" s="31">
        <f>IF(I53=0,"",H53/I53)</f>
        <v>1.0010283155470121</v>
      </c>
      <c r="K53" s="29"/>
      <c r="L53" s="58">
        <f>L32-L52</f>
        <v>-16941.580000000002</v>
      </c>
      <c r="M53" s="58">
        <f>M32-M52</f>
        <v>5587.4799999999959</v>
      </c>
      <c r="N53" s="58">
        <f>N32-N52</f>
        <v>0</v>
      </c>
      <c r="O53" s="31" t="str">
        <f>IF(N53=0,"",M53/N53)</f>
        <v/>
      </c>
      <c r="P53" s="29"/>
      <c r="Q53" s="146">
        <f>Q32-Q52</f>
        <v>-181.0600000000004</v>
      </c>
      <c r="R53" s="146">
        <f>R32-R52</f>
        <v>4856.8399999999983</v>
      </c>
      <c r="S53" s="146">
        <f>S32-S52</f>
        <v>0</v>
      </c>
      <c r="T53" s="150" t="str">
        <f>IF(S53=0,"",R53/S53)</f>
        <v/>
      </c>
      <c r="U53" s="29"/>
      <c r="V53" s="58">
        <f>V32-V52</f>
        <v>7312.4900000000489</v>
      </c>
      <c r="W53" s="58">
        <f>W32-W52</f>
        <v>350777.12000000023</v>
      </c>
      <c r="X53" s="58">
        <f>X32-X52</f>
        <v>339983.19000000134</v>
      </c>
      <c r="Y53" s="31">
        <f>IF(X53=0,"",W53/X53)</f>
        <v>1.0317484226205385</v>
      </c>
    </row>
    <row r="54" spans="1:25" x14ac:dyDescent="0.2">
      <c r="A54" s="3"/>
      <c r="B54" s="3"/>
      <c r="C54" s="5"/>
      <c r="D54" s="5"/>
      <c r="E54" s="5"/>
      <c r="F54" s="5"/>
      <c r="G54" s="28"/>
      <c r="H54" s="29"/>
      <c r="I54" s="29"/>
      <c r="J54" s="8"/>
      <c r="K54" s="29"/>
      <c r="L54" s="29"/>
      <c r="M54" s="29"/>
      <c r="N54" s="29"/>
      <c r="O54" s="8"/>
      <c r="P54" s="29"/>
      <c r="Q54" s="28"/>
      <c r="R54" s="28"/>
      <c r="S54" s="28"/>
      <c r="T54" s="20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8"/>
      <c r="H55" s="29"/>
      <c r="I55" s="29"/>
      <c r="J55" s="8"/>
      <c r="K55" s="29"/>
      <c r="L55" s="29"/>
      <c r="M55" s="29"/>
      <c r="N55" s="29"/>
      <c r="O55" s="8"/>
      <c r="P55" s="29"/>
      <c r="Q55" s="28"/>
      <c r="R55" s="28"/>
      <c r="S55" s="28"/>
      <c r="T55" s="20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23">
        <v>0</v>
      </c>
      <c r="I56" s="19">
        <v>122336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7"/>
      <c r="R56" s="67"/>
      <c r="S56" s="68">
        <v>0</v>
      </c>
      <c r="T56" s="20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122336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31296.16</v>
      </c>
      <c r="H57" s="23">
        <v>92275.109999999986</v>
      </c>
      <c r="I57" s="19">
        <v>462317.8</v>
      </c>
      <c r="J57" s="8">
        <f>IF(I57=0,"%",H57/I57)</f>
        <v>0.19959237996027837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7"/>
      <c r="R57" s="67"/>
      <c r="S57" s="68">
        <v>0</v>
      </c>
      <c r="T57" s="20" t="str">
        <f>IF(S57=0,"%",R57/S57)</f>
        <v>%</v>
      </c>
      <c r="U57" s="29"/>
      <c r="V57" s="66">
        <f t="shared" si="18"/>
        <v>31296.16</v>
      </c>
      <c r="W57" s="66">
        <f t="shared" si="18"/>
        <v>92275.109999999986</v>
      </c>
      <c r="X57" s="59">
        <f t="shared" si="18"/>
        <v>462317.8</v>
      </c>
      <c r="Y57" s="8">
        <f>IF(X57=0,"%",W57/X57)</f>
        <v>0.19959237996027837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70">
        <f>SUM(G56:G57)</f>
        <v>31296.16</v>
      </c>
      <c r="H58" s="57">
        <f>SUM(H56-H57)</f>
        <v>-92275.109999999986</v>
      </c>
      <c r="I58" s="57">
        <f>SUM(I56:I57)</f>
        <v>584653.80000000005</v>
      </c>
      <c r="J58" s="31">
        <f>IF(I58=0,"",H58/I58)</f>
        <v>-0.15782863294482988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70">
        <f>SUM(Q56:Q57)</f>
        <v>0</v>
      </c>
      <c r="R58" s="70">
        <f>SUM(R56:R57)</f>
        <v>0</v>
      </c>
      <c r="S58" s="70">
        <f>SUM(S56:S57)</f>
        <v>0</v>
      </c>
      <c r="T58" s="150" t="str">
        <f>IF(S58=0,"",R58/S58)</f>
        <v/>
      </c>
      <c r="U58" s="29"/>
      <c r="V58" s="57">
        <f>SUM(V56:V57)</f>
        <v>31296.16</v>
      </c>
      <c r="W58" s="57">
        <f>W56-W57</f>
        <v>-92275.109999999986</v>
      </c>
      <c r="X58" s="57">
        <f>SUM(X56:X57)</f>
        <v>584653.80000000005</v>
      </c>
      <c r="Y58" s="31">
        <f>IF(X58=0,"",W58/X58)</f>
        <v>-0.15782863294482988</v>
      </c>
    </row>
    <row r="59" spans="1:25" x14ac:dyDescent="0.2">
      <c r="A59" s="3"/>
      <c r="B59" s="3"/>
      <c r="C59" s="5"/>
      <c r="D59" s="5"/>
      <c r="E59" s="74"/>
      <c r="F59" s="5"/>
      <c r="G59" s="28"/>
      <c r="H59" s="29"/>
      <c r="I59" s="29"/>
      <c r="J59" s="8"/>
      <c r="K59" s="29"/>
      <c r="L59" s="29"/>
      <c r="M59" s="29"/>
      <c r="N59" s="29"/>
      <c r="O59" s="8"/>
      <c r="P59" s="29"/>
      <c r="Q59" s="28"/>
      <c r="R59" s="28"/>
      <c r="S59" s="28"/>
      <c r="T59" s="20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68"/>
      <c r="H60" s="68">
        <f>H53+H58</f>
        <v>248057.69000000018</v>
      </c>
      <c r="I60" s="59"/>
      <c r="J60" s="8" t="str">
        <f>IF(I60=0,"",H60/I60)</f>
        <v/>
      </c>
      <c r="K60" s="29"/>
      <c r="L60" s="59"/>
      <c r="M60" s="59">
        <f>M32-M52+M58</f>
        <v>5587.4799999999959</v>
      </c>
      <c r="N60" s="59"/>
      <c r="O60" s="29"/>
      <c r="P60" s="29"/>
      <c r="Q60" s="68"/>
      <c r="R60" s="68">
        <f>R32-R52+R58</f>
        <v>4856.8399999999983</v>
      </c>
      <c r="S60" s="68">
        <f>S32-S52+S58</f>
        <v>0</v>
      </c>
      <c r="T60" s="28"/>
      <c r="U60" s="29">
        <f>U32-U52+U58</f>
        <v>0</v>
      </c>
      <c r="V60" s="59"/>
      <c r="W60" s="59">
        <f>W32-W52+W58</f>
        <v>258502.01000000024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68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68"/>
      <c r="R61" s="68"/>
      <c r="S61" s="68"/>
      <c r="T61" s="20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68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68"/>
      <c r="R62" s="68"/>
      <c r="S62" s="68"/>
      <c r="T62" s="20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70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70">
        <f>SUM(Q61:Q62)</f>
        <v>0</v>
      </c>
      <c r="R63" s="70">
        <f>SUM(R61:R62)</f>
        <v>0</v>
      </c>
      <c r="S63" s="70">
        <f>SUM(S61:S62)</f>
        <v>0</v>
      </c>
      <c r="T63" s="150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8"/>
      <c r="H64" s="29"/>
      <c r="I64" s="29"/>
      <c r="J64" s="8"/>
      <c r="K64" s="29"/>
      <c r="L64" s="29"/>
      <c r="M64" s="29"/>
      <c r="N64" s="29"/>
      <c r="O64" s="8"/>
      <c r="P64" s="29"/>
      <c r="Q64" s="28"/>
      <c r="R64" s="28"/>
      <c r="S64" s="28"/>
      <c r="T64" s="20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148">
        <f>G63+G60</f>
        <v>0</v>
      </c>
      <c r="H65" s="65">
        <f>H63+H60</f>
        <v>248057.69000000018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5587.4799999999959</v>
      </c>
      <c r="N65" s="65">
        <f>N63+N60</f>
        <v>0</v>
      </c>
      <c r="O65" s="38" t="str">
        <f>IF(N65=0,"%",M65/N65)</f>
        <v>%</v>
      </c>
      <c r="P65" s="39"/>
      <c r="Q65" s="148">
        <f>Q63+Q60</f>
        <v>0</v>
      </c>
      <c r="R65" s="148">
        <f>R63+R60</f>
        <v>4856.8399999999983</v>
      </c>
      <c r="S65" s="148">
        <f>S63+S60</f>
        <v>0</v>
      </c>
      <c r="T65" s="151" t="str">
        <f>IF(S65=0,"%",R65/S65)</f>
        <v>%</v>
      </c>
      <c r="U65" s="39"/>
      <c r="V65" s="65">
        <f>V63+V60</f>
        <v>0</v>
      </c>
      <c r="W65" s="65">
        <f>W63+W60</f>
        <v>258502.01000000024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 codeName="Sheet5">
    <pageSetUpPr fitToPage="1"/>
  </sheetPr>
  <dimension ref="A1:AE67"/>
  <sheetViews>
    <sheetView topLeftCell="C4" zoomScale="70" zoomScaleNormal="70" zoomScaleSheetLayoutView="50" zoomScalePageLayoutView="40" workbookViewId="0">
      <selection activeCell="M12" sqref="M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18.5703125" style="149" bestFit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3.42578125" style="149" customWidth="1"/>
    <col min="21" max="21" width="2.42578125" style="4" customWidth="1"/>
    <col min="22" max="22" width="16.7109375" style="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5" t="s">
        <v>54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</row>
    <row r="2" spans="1:31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</row>
    <row r="3" spans="1:31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1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1:31" ht="23.25" x14ac:dyDescent="0.35">
      <c r="A5" s="3"/>
      <c r="B5" s="3"/>
      <c r="C5" s="52"/>
      <c r="D5" s="52"/>
      <c r="E5" s="52"/>
      <c r="F5" s="52"/>
      <c r="G5" s="145"/>
      <c r="H5" s="52"/>
      <c r="I5" s="52"/>
      <c r="J5" s="52"/>
      <c r="K5" s="52"/>
      <c r="L5" s="52"/>
      <c r="M5" s="52"/>
      <c r="N5" s="52"/>
      <c r="O5" s="52"/>
      <c r="P5" s="52"/>
      <c r="Q5" s="145"/>
      <c r="R5" s="145"/>
      <c r="S5" s="145"/>
      <c r="T5" s="145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145"/>
      <c r="H6" s="52"/>
      <c r="I6" s="52"/>
      <c r="J6" s="52"/>
      <c r="K6" s="52"/>
      <c r="L6" s="52"/>
      <c r="M6" s="52"/>
      <c r="N6" s="52"/>
      <c r="O6" s="52"/>
      <c r="P6" s="52"/>
      <c r="Q6" s="145"/>
      <c r="R6" s="145"/>
      <c r="S6" s="145"/>
      <c r="T6" s="145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20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17"/>
      <c r="R10" s="17"/>
      <c r="S10" s="17"/>
      <c r="T10" s="17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6" t="s">
        <v>5</v>
      </c>
      <c r="H11" s="127"/>
      <c r="I11" s="127"/>
      <c r="J11" s="128"/>
      <c r="K11" s="9"/>
      <c r="L11" s="126" t="s">
        <v>7</v>
      </c>
      <c r="M11" s="127"/>
      <c r="N11" s="127"/>
      <c r="O11" s="128"/>
      <c r="P11" s="9"/>
      <c r="Q11" s="130" t="s">
        <v>8</v>
      </c>
      <c r="R11" s="131"/>
      <c r="S11" s="131"/>
      <c r="T11" s="132"/>
      <c r="U11" s="9"/>
      <c r="V11" s="130" t="s">
        <v>55</v>
      </c>
      <c r="W11" s="131"/>
      <c r="X11" s="131"/>
      <c r="Y11" s="132"/>
      <c r="Z11" s="9"/>
      <c r="AA11" s="126" t="s">
        <v>9</v>
      </c>
      <c r="AB11" s="127"/>
      <c r="AC11" s="127"/>
      <c r="AD11" s="129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17"/>
      <c r="H13" s="5"/>
      <c r="I13" s="5"/>
      <c r="J13" s="5"/>
      <c r="K13" s="5"/>
      <c r="L13" s="5"/>
      <c r="M13" s="5"/>
      <c r="N13" s="5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17"/>
      <c r="H14" s="5"/>
      <c r="I14" s="5"/>
      <c r="J14" s="5"/>
      <c r="K14" s="5"/>
      <c r="L14" s="5"/>
      <c r="M14" s="5"/>
      <c r="N14" s="5"/>
      <c r="O14" s="5"/>
      <c r="P14" s="5"/>
      <c r="Q14" s="17"/>
      <c r="R14" s="17"/>
      <c r="S14" s="17"/>
      <c r="T14" s="17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17"/>
      <c r="R15" s="17"/>
      <c r="S15" s="17"/>
      <c r="T15" s="17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65955.44</v>
      </c>
      <c r="N17" s="19">
        <v>341252.17</v>
      </c>
      <c r="O17" s="8">
        <f>IF(N17=0,"%",M17/N17)</f>
        <v>0.19327478562260866</v>
      </c>
      <c r="P17" s="26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0</v>
      </c>
      <c r="AB17" s="23">
        <f t="shared" si="1"/>
        <v>65955.44</v>
      </c>
      <c r="AC17" s="23">
        <f t="shared" si="1"/>
        <v>341252.17</v>
      </c>
      <c r="AD17" s="8">
        <f>IF(AC17=0,"%",AB17/AC17)</f>
        <v>0.19327478562260866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19"/>
      <c r="R18" s="19"/>
      <c r="S18" s="19"/>
      <c r="T18" s="20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349251.51</v>
      </c>
      <c r="H19" s="19">
        <v>1066067.79</v>
      </c>
      <c r="I19" s="19">
        <v>4095784</v>
      </c>
      <c r="J19" s="20">
        <f t="shared" si="2"/>
        <v>0.26028418246665352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349251.51</v>
      </c>
      <c r="AB19" s="23">
        <f>H19+M19+R19</f>
        <v>1066067.79</v>
      </c>
      <c r="AC19" s="23">
        <f>I19+N19+S19</f>
        <v>4095784</v>
      </c>
      <c r="AD19" s="8">
        <f t="shared" ref="AD19:AD24" si="6">IF(AC19=0,"%",AB19/AC19)</f>
        <v>0.26028418246665352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v>68397</v>
      </c>
      <c r="W20" s="23">
        <v>68397</v>
      </c>
      <c r="X20" s="23">
        <v>371687</v>
      </c>
      <c r="Y20" s="8">
        <f>IF(X20=0,"%",W20/X20)</f>
        <v>0.18401773535259505</v>
      </c>
      <c r="Z20" s="26"/>
      <c r="AA20" s="23">
        <f>G20+L20+Q20+V20</f>
        <v>68397</v>
      </c>
      <c r="AB20" s="23">
        <f>H20+M20+R20+W20</f>
        <v>68397</v>
      </c>
      <c r="AC20" s="23">
        <f>I20+N20+S20+X20</f>
        <v>371687</v>
      </c>
      <c r="AD20" s="8">
        <f>IF(AC20=0,"%",AB20/AC20)</f>
        <v>0.18401773535259505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20185.45</v>
      </c>
      <c r="H21" s="19">
        <v>60556.35</v>
      </c>
      <c r="I21" s="19">
        <v>222040</v>
      </c>
      <c r="J21" s="20">
        <f t="shared" si="2"/>
        <v>0.27272721131327687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6"/>
      <c r="V21" s="23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20185.45</v>
      </c>
      <c r="AB21" s="23">
        <f t="shared" si="7"/>
        <v>60556.35</v>
      </c>
      <c r="AC21" s="23">
        <f t="shared" si="7"/>
        <v>222040</v>
      </c>
      <c r="AD21" s="8">
        <f>IF(AC21=0,"%",AB21/AC21)</f>
        <v>0.27272721131327687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52570.18</v>
      </c>
      <c r="H22" s="19">
        <v>157710.54</v>
      </c>
      <c r="I22" s="19">
        <v>582812</v>
      </c>
      <c r="J22" s="20">
        <f t="shared" si="2"/>
        <v>0.27060276727315158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52570.18</v>
      </c>
      <c r="AB22" s="23">
        <f t="shared" si="7"/>
        <v>157710.54</v>
      </c>
      <c r="AC22" s="23">
        <f t="shared" si="7"/>
        <v>582812</v>
      </c>
      <c r="AD22" s="8">
        <f t="shared" si="6"/>
        <v>0.27060276727315158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19">
        <v>0</v>
      </c>
      <c r="R23" s="19">
        <v>0</v>
      </c>
      <c r="S23" s="19">
        <v>0</v>
      </c>
      <c r="T23" s="20" t="str">
        <f t="shared" si="4"/>
        <v>%</v>
      </c>
      <c r="U23" s="26"/>
      <c r="V23" s="23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2700</v>
      </c>
      <c r="H24" s="19">
        <v>10200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19">
        <v>0</v>
      </c>
      <c r="R24" s="19">
        <v>0</v>
      </c>
      <c r="S24" s="19">
        <v>0</v>
      </c>
      <c r="T24" s="20" t="str">
        <f t="shared" si="4"/>
        <v>%</v>
      </c>
      <c r="U24" s="26"/>
      <c r="V24" s="23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2700</v>
      </c>
      <c r="AB24" s="23">
        <f t="shared" si="7"/>
        <v>10200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19"/>
      <c r="R25" s="19"/>
      <c r="S25" s="19"/>
      <c r="T25" s="20"/>
      <c r="U25" s="5"/>
      <c r="V25" s="23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8">IF(N26=0,"%",M26/N26)</f>
        <v>%</v>
      </c>
      <c r="P26" s="29"/>
      <c r="Q26" s="19">
        <v>0</v>
      </c>
      <c r="R26" s="19">
        <v>0</v>
      </c>
      <c r="S26" s="19">
        <v>0</v>
      </c>
      <c r="T26" s="20" t="str">
        <f t="shared" ref="T26:T31" si="9">IF(S26=0,"%",R26/S26)</f>
        <v>%</v>
      </c>
      <c r="U26" s="29"/>
      <c r="V26" s="23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23884.09</v>
      </c>
      <c r="H27" s="19">
        <v>70916.27</v>
      </c>
      <c r="I27" s="19">
        <v>256626</v>
      </c>
      <c r="J27" s="20">
        <f t="shared" si="2"/>
        <v>0.27634093973330842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19">
        <v>0</v>
      </c>
      <c r="R27" s="19">
        <v>0</v>
      </c>
      <c r="S27" s="19">
        <v>0</v>
      </c>
      <c r="T27" s="20" t="str">
        <f t="shared" si="9"/>
        <v>%</v>
      </c>
      <c r="U27" s="29"/>
      <c r="V27" s="23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23884.09</v>
      </c>
      <c r="AB27" s="23">
        <f t="shared" si="11"/>
        <v>70916.27</v>
      </c>
      <c r="AC27" s="23">
        <f t="shared" si="11"/>
        <v>256626</v>
      </c>
      <c r="AD27" s="8">
        <f t="shared" si="12"/>
        <v>0.27634093973330842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19">
        <v>0</v>
      </c>
      <c r="R28" s="19">
        <v>0</v>
      </c>
      <c r="S28" s="19">
        <v>0</v>
      </c>
      <c r="T28" s="20" t="str">
        <f t="shared" si="9"/>
        <v>%</v>
      </c>
      <c r="U28" s="29"/>
      <c r="V28" s="23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19">
        <v>0</v>
      </c>
      <c r="R29" s="19">
        <v>0</v>
      </c>
      <c r="S29" s="19">
        <v>0</v>
      </c>
      <c r="T29" s="20" t="str">
        <f t="shared" si="9"/>
        <v>%</v>
      </c>
      <c r="U29" s="29"/>
      <c r="V29" s="23">
        <v>0</v>
      </c>
      <c r="W29" s="23">
        <v>0</v>
      </c>
      <c r="X29" s="23">
        <v>0</v>
      </c>
      <c r="Y29" s="8" t="str">
        <f t="shared" si="10"/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19">
        <v>0</v>
      </c>
      <c r="R30" s="19">
        <v>0</v>
      </c>
      <c r="S30" s="19">
        <v>0</v>
      </c>
      <c r="T30" s="20" t="str">
        <f t="shared" si="9"/>
        <v>%</v>
      </c>
      <c r="U30" s="29"/>
      <c r="V30" s="23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8"/>
        <v>%</v>
      </c>
      <c r="P31" s="29"/>
      <c r="Q31" s="19">
        <v>13634.71</v>
      </c>
      <c r="R31" s="19">
        <v>54102.57</v>
      </c>
      <c r="S31" s="19">
        <v>0</v>
      </c>
      <c r="T31" s="20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13634.71</v>
      </c>
      <c r="AB31" s="23">
        <f t="shared" si="11"/>
        <v>54102.57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70">
        <f>SUM(G16:G31)</f>
        <v>448591.23000000004</v>
      </c>
      <c r="H32" s="57">
        <f>SUM(H16:H31)</f>
        <v>1365450.9500000002</v>
      </c>
      <c r="I32" s="57">
        <f>SUM(I16:I31)</f>
        <v>5271408</v>
      </c>
      <c r="J32" s="31">
        <f>IF(I32=0,"",H32/I32)</f>
        <v>0.25902964634875542</v>
      </c>
      <c r="K32" s="29"/>
      <c r="L32" s="57">
        <f>SUM(L16:L31)</f>
        <v>0</v>
      </c>
      <c r="M32" s="57">
        <f>SUM(M16:M31)</f>
        <v>65955.44</v>
      </c>
      <c r="N32" s="57">
        <f>SUM(N16:N31)</f>
        <v>341252.17</v>
      </c>
      <c r="O32" s="31">
        <f>IF(N32=0,"",M32/N32)</f>
        <v>0.19327478562260866</v>
      </c>
      <c r="P32" s="29"/>
      <c r="Q32" s="70">
        <f>SUM(Q16:Q31)</f>
        <v>13634.71</v>
      </c>
      <c r="R32" s="70">
        <f>SUM(R16:R31)</f>
        <v>54102.57</v>
      </c>
      <c r="S32" s="70">
        <f>SUM(S16:S31)</f>
        <v>0</v>
      </c>
      <c r="T32" s="150" t="str">
        <f>IF(S32=0,"",R32/S32)</f>
        <v/>
      </c>
      <c r="U32" s="29"/>
      <c r="V32" s="57">
        <f>SUM(V16:V31)</f>
        <v>68397</v>
      </c>
      <c r="W32" s="57">
        <f>SUM(W16:W31)</f>
        <v>68397</v>
      </c>
      <c r="X32" s="57">
        <f>SUM(X16:X31)</f>
        <v>371687</v>
      </c>
      <c r="Y32" s="31">
        <f>IF(X32=0,"",W32/X32)</f>
        <v>0.18401773535259505</v>
      </c>
      <c r="Z32" s="29"/>
      <c r="AA32" s="57">
        <f>SUM(AA16:AA31)</f>
        <v>530622.94000000006</v>
      </c>
      <c r="AB32" s="57">
        <f>SUM(AB16:AB31)</f>
        <v>1553905.9600000002</v>
      </c>
      <c r="AC32" s="57">
        <f>SUM(AC16:AC31)</f>
        <v>5984347.1699999999</v>
      </c>
      <c r="AD32" s="31">
        <f>IF(AC32=0,"",AB32/AC32)</f>
        <v>0.25966173349531796</v>
      </c>
    </row>
    <row r="33" spans="1:30" x14ac:dyDescent="0.2">
      <c r="A33" s="3"/>
      <c r="B33" s="3"/>
      <c r="C33" s="5"/>
      <c r="D33" s="5"/>
      <c r="E33" s="5"/>
      <c r="F33" s="5"/>
      <c r="G33" s="28"/>
      <c r="H33" s="29"/>
      <c r="I33" s="29"/>
      <c r="J33" s="8"/>
      <c r="K33" s="29"/>
      <c r="L33" s="29"/>
      <c r="M33" s="29"/>
      <c r="N33" s="29"/>
      <c r="O33" s="8"/>
      <c r="P33" s="29"/>
      <c r="Q33" s="28"/>
      <c r="R33" s="28"/>
      <c r="S33" s="28"/>
      <c r="T33" s="20"/>
      <c r="U33" s="29"/>
      <c r="V33" s="29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8"/>
      <c r="H34" s="29"/>
      <c r="I34" s="29"/>
      <c r="J34" s="8"/>
      <c r="K34" s="29"/>
      <c r="L34" s="29"/>
      <c r="M34" s="29"/>
      <c r="N34" s="29"/>
      <c r="O34" s="8"/>
      <c r="P34" s="29"/>
      <c r="Q34" s="28"/>
      <c r="R34" s="28"/>
      <c r="S34" s="28"/>
      <c r="T34" s="20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8"/>
      <c r="H35" s="29"/>
      <c r="I35" s="29"/>
      <c r="J35" s="8"/>
      <c r="K35" s="29"/>
      <c r="L35" s="29"/>
      <c r="M35" s="29"/>
      <c r="N35" s="29"/>
      <c r="O35" s="8"/>
      <c r="P35" s="29"/>
      <c r="Q35" s="28"/>
      <c r="R35" s="28"/>
      <c r="S35" s="28"/>
      <c r="T35" s="20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f>209944.56+28339.88</f>
        <v>238284.44</v>
      </c>
      <c r="H36" s="19">
        <v>471970.91999999987</v>
      </c>
      <c r="I36" s="19">
        <v>3113780.1</v>
      </c>
      <c r="J36" s="8">
        <f t="shared" ref="J36:J51" si="13">IF(I36=0,"%",H36/I36)</f>
        <v>0.15157490408523064</v>
      </c>
      <c r="K36" s="29"/>
      <c r="L36" s="19">
        <v>8247.7799999999988</v>
      </c>
      <c r="M36" s="19">
        <v>89149.55</v>
      </c>
      <c r="N36" s="19">
        <v>123735.03999999998</v>
      </c>
      <c r="O36" s="8">
        <f t="shared" ref="O36:O51" si="14">IF(N36=0,"%",M36/N36)</f>
        <v>0.72048750297409703</v>
      </c>
      <c r="P36" s="29"/>
      <c r="Q36" s="19">
        <v>0</v>
      </c>
      <c r="R36" s="19">
        <v>0</v>
      </c>
      <c r="S36" s="19">
        <v>0</v>
      </c>
      <c r="T36" s="20" t="str">
        <f t="shared" ref="T36:T51" si="15">IF(S36=0,"%",R36/S36)</f>
        <v>%</v>
      </c>
      <c r="U36" s="29"/>
      <c r="V36" s="23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246532.22</v>
      </c>
      <c r="AB36" s="23">
        <f>H36+M36+R36+W36</f>
        <v>561120.46999999986</v>
      </c>
      <c r="AC36" s="23">
        <f>I36+N36+S36+X36</f>
        <v>3237515.14</v>
      </c>
      <c r="AD36" s="8">
        <f t="shared" ref="AD36:AD51" si="17">IF(AC36=0,"%",AB36/AC36)</f>
        <v>0.17331825357888514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f>67+5747.26-1574.45</f>
        <v>4239.8100000000004</v>
      </c>
      <c r="H37" s="19">
        <v>16499.149999999998</v>
      </c>
      <c r="I37" s="19">
        <v>128394.91</v>
      </c>
      <c r="J37" s="8">
        <f t="shared" si="13"/>
        <v>0.12850314704843049</v>
      </c>
      <c r="K37" s="29"/>
      <c r="L37" s="23">
        <v>16683.68</v>
      </c>
      <c r="M37" s="19">
        <v>30246.81</v>
      </c>
      <c r="N37" s="23">
        <v>217517.13</v>
      </c>
      <c r="O37" s="8">
        <f t="shared" si="14"/>
        <v>0.13905484133594445</v>
      </c>
      <c r="P37" s="29"/>
      <c r="Q37" s="19">
        <v>0</v>
      </c>
      <c r="R37" s="19">
        <v>0</v>
      </c>
      <c r="S37" s="19">
        <v>0</v>
      </c>
      <c r="T37" s="20" t="str">
        <f t="shared" si="15"/>
        <v>%</v>
      </c>
      <c r="U37" s="29"/>
      <c r="V37" s="23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20923.490000000002</v>
      </c>
      <c r="AB37" s="23">
        <f t="shared" ref="AB37:AB51" si="19">H37+M37+R37+W37</f>
        <v>46745.96</v>
      </c>
      <c r="AC37" s="23">
        <f t="shared" ref="AC37:AC51" si="20">I37+N37+S37+X37</f>
        <v>345912.04000000004</v>
      </c>
      <c r="AD37" s="8">
        <f t="shared" si="17"/>
        <v>0.13513828544389492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9000</v>
      </c>
      <c r="H38" s="19">
        <v>9000</v>
      </c>
      <c r="I38" s="19">
        <v>13250</v>
      </c>
      <c r="J38" s="8">
        <f t="shared" si="13"/>
        <v>0.67924528301886788</v>
      </c>
      <c r="K38" s="29"/>
      <c r="L38" s="23">
        <v>0</v>
      </c>
      <c r="M38" s="23">
        <v>0</v>
      </c>
      <c r="N38" s="23">
        <v>0</v>
      </c>
      <c r="O38" s="8" t="str">
        <f t="shared" si="14"/>
        <v>%</v>
      </c>
      <c r="P38" s="29"/>
      <c r="Q38" s="19">
        <v>0</v>
      </c>
      <c r="R38" s="19">
        <v>0</v>
      </c>
      <c r="S38" s="19">
        <v>0</v>
      </c>
      <c r="T38" s="20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9000</v>
      </c>
      <c r="AB38" s="23">
        <f t="shared" si="19"/>
        <v>9000</v>
      </c>
      <c r="AC38" s="23">
        <f t="shared" si="20"/>
        <v>13250</v>
      </c>
      <c r="AD38" s="8">
        <f t="shared" si="17"/>
        <v>0.67924528301886788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19">
        <v>0</v>
      </c>
      <c r="R39" s="19">
        <v>0</v>
      </c>
      <c r="S39" s="19">
        <v>0</v>
      </c>
      <c r="T39" s="20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62392.43</v>
      </c>
      <c r="H40" s="19">
        <v>154297.17000000001</v>
      </c>
      <c r="I40" s="19">
        <v>680602.78</v>
      </c>
      <c r="J40" s="8">
        <f t="shared" si="13"/>
        <v>0.22670664083975678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19">
        <v>0</v>
      </c>
      <c r="R40" s="19">
        <v>0</v>
      </c>
      <c r="S40" s="19">
        <v>0</v>
      </c>
      <c r="T40" s="20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62392.43</v>
      </c>
      <c r="AB40" s="23">
        <f t="shared" si="19"/>
        <v>154297.17000000001</v>
      </c>
      <c r="AC40" s="23">
        <f t="shared" si="20"/>
        <v>680602.78</v>
      </c>
      <c r="AD40" s="8">
        <f t="shared" si="17"/>
        <v>0.22670664083975678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19">
        <v>0</v>
      </c>
      <c r="R41" s="19">
        <v>0</v>
      </c>
      <c r="S41" s="19">
        <v>0</v>
      </c>
      <c r="T41" s="20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2226.94</v>
      </c>
      <c r="H42" s="19">
        <v>6782.07</v>
      </c>
      <c r="I42" s="19">
        <v>24960</v>
      </c>
      <c r="J42" s="8">
        <f t="shared" si="13"/>
        <v>0.27171754807692305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19">
        <v>0</v>
      </c>
      <c r="R42" s="19">
        <v>0</v>
      </c>
      <c r="S42" s="19">
        <v>0</v>
      </c>
      <c r="T42" s="20" t="str">
        <f t="shared" si="15"/>
        <v>%</v>
      </c>
      <c r="U42" s="29"/>
      <c r="V42" s="23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2226.94</v>
      </c>
      <c r="AB42" s="23">
        <f t="shared" si="19"/>
        <v>6782.07</v>
      </c>
      <c r="AC42" s="23">
        <f t="shared" si="20"/>
        <v>24960</v>
      </c>
      <c r="AD42" s="8">
        <f t="shared" si="17"/>
        <v>0.27171754807692305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8" t="str">
        <f t="shared" si="14"/>
        <v>%</v>
      </c>
      <c r="P43" s="29"/>
      <c r="Q43" s="19">
        <v>0</v>
      </c>
      <c r="R43" s="19">
        <v>0</v>
      </c>
      <c r="S43" s="19">
        <v>0</v>
      </c>
      <c r="T43" s="20" t="str">
        <f t="shared" si="15"/>
        <v>%</v>
      </c>
      <c r="U43" s="29"/>
      <c r="V43" s="23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8" t="str">
        <f t="shared" si="14"/>
        <v>%</v>
      </c>
      <c r="P44" s="29"/>
      <c r="Q44" s="19">
        <v>0</v>
      </c>
      <c r="R44" s="19">
        <v>0</v>
      </c>
      <c r="S44" s="19">
        <v>0</v>
      </c>
      <c r="T44" s="20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500</v>
      </c>
      <c r="J45" s="8">
        <f t="shared" si="13"/>
        <v>0</v>
      </c>
      <c r="K45" s="29"/>
      <c r="L45" s="19">
        <v>0</v>
      </c>
      <c r="M45" s="19">
        <v>0</v>
      </c>
      <c r="N45" s="19">
        <v>0</v>
      </c>
      <c r="O45" s="8" t="str">
        <f t="shared" si="14"/>
        <v>%</v>
      </c>
      <c r="P45" s="29"/>
      <c r="Q45" s="19">
        <v>0</v>
      </c>
      <c r="R45" s="19">
        <v>0</v>
      </c>
      <c r="S45" s="19">
        <v>0</v>
      </c>
      <c r="T45" s="20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500</v>
      </c>
      <c r="AD45" s="8">
        <f t="shared" si="17"/>
        <v>0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20368.71</v>
      </c>
      <c r="H46" s="19">
        <v>197733.64</v>
      </c>
      <c r="I46" s="19">
        <v>341120.17</v>
      </c>
      <c r="J46" s="8">
        <f t="shared" si="13"/>
        <v>0.57965977209732289</v>
      </c>
      <c r="K46" s="29"/>
      <c r="L46" s="19">
        <v>0</v>
      </c>
      <c r="M46" s="19">
        <v>0</v>
      </c>
      <c r="N46" s="19">
        <v>0</v>
      </c>
      <c r="O46" s="8" t="str">
        <f t="shared" si="14"/>
        <v>%</v>
      </c>
      <c r="P46" s="29"/>
      <c r="Q46" s="19">
        <v>0</v>
      </c>
      <c r="R46" s="19">
        <v>0</v>
      </c>
      <c r="S46" s="19">
        <v>0</v>
      </c>
      <c r="T46" s="20" t="str">
        <f t="shared" si="15"/>
        <v>%</v>
      </c>
      <c r="U46" s="29"/>
      <c r="V46" s="23">
        <v>87135.87</v>
      </c>
      <c r="W46" s="23">
        <v>87135.87</v>
      </c>
      <c r="X46" s="23">
        <v>0</v>
      </c>
      <c r="Y46" s="8" t="str">
        <f t="shared" si="16"/>
        <v>%</v>
      </c>
      <c r="Z46" s="29"/>
      <c r="AA46" s="23">
        <f t="shared" si="18"/>
        <v>107504.57999999999</v>
      </c>
      <c r="AB46" s="23">
        <f t="shared" si="19"/>
        <v>284869.51</v>
      </c>
      <c r="AC46" s="23">
        <f t="shared" si="20"/>
        <v>341120.17</v>
      </c>
      <c r="AD46" s="8">
        <f t="shared" si="17"/>
        <v>0.83510016426176159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3"/>
        <v>%</v>
      </c>
      <c r="K47" s="29"/>
      <c r="L47" s="19">
        <v>0</v>
      </c>
      <c r="M47" s="19">
        <v>0</v>
      </c>
      <c r="N47" s="19">
        <v>0</v>
      </c>
      <c r="O47" s="8" t="str">
        <f t="shared" si="14"/>
        <v>%</v>
      </c>
      <c r="P47" s="29"/>
      <c r="Q47" s="19">
        <v>0</v>
      </c>
      <c r="R47" s="19">
        <v>0</v>
      </c>
      <c r="S47" s="19">
        <v>0</v>
      </c>
      <c r="T47" s="20" t="str">
        <f t="shared" si="15"/>
        <v>%</v>
      </c>
      <c r="U47" s="29"/>
      <c r="V47" s="23">
        <v>0</v>
      </c>
      <c r="W47" s="23">
        <v>43798.270000000004</v>
      </c>
      <c r="X47" s="23">
        <v>82687</v>
      </c>
      <c r="Y47" s="8">
        <f>IF(X47=0,"%",W47/X47)</f>
        <v>0.52968749622068767</v>
      </c>
      <c r="Z47" s="29"/>
      <c r="AA47" s="23">
        <f t="shared" si="18"/>
        <v>0</v>
      </c>
      <c r="AB47" s="23">
        <f t="shared" si="19"/>
        <v>43798.270000000004</v>
      </c>
      <c r="AC47" s="23">
        <f t="shared" si="20"/>
        <v>82687</v>
      </c>
      <c r="AD47" s="8">
        <f t="shared" si="17"/>
        <v>0.52968749622068767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8" t="str">
        <f t="shared" si="14"/>
        <v>%</v>
      </c>
      <c r="P48" s="29"/>
      <c r="Q48" s="19">
        <v>0</v>
      </c>
      <c r="R48" s="19">
        <v>0</v>
      </c>
      <c r="S48" s="19">
        <v>0</v>
      </c>
      <c r="T48" s="20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19">
        <v>5365.2</v>
      </c>
      <c r="J49" s="8">
        <f t="shared" si="13"/>
        <v>0</v>
      </c>
      <c r="K49" s="29"/>
      <c r="L49" s="19">
        <v>0</v>
      </c>
      <c r="M49" s="19">
        <v>0</v>
      </c>
      <c r="N49" s="19">
        <v>0</v>
      </c>
      <c r="O49" s="8" t="str">
        <f t="shared" si="14"/>
        <v>%</v>
      </c>
      <c r="P49" s="29"/>
      <c r="Q49" s="19">
        <v>0</v>
      </c>
      <c r="R49" s="19">
        <v>0</v>
      </c>
      <c r="S49" s="19">
        <v>0</v>
      </c>
      <c r="T49" s="20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5365.2</v>
      </c>
      <c r="AD49" s="8">
        <f t="shared" si="17"/>
        <v>0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8" t="str">
        <f t="shared" si="14"/>
        <v>%</v>
      </c>
      <c r="P50" s="29"/>
      <c r="Q50" s="19">
        <v>0</v>
      </c>
      <c r="R50" s="19">
        <v>0</v>
      </c>
      <c r="S50" s="19">
        <v>0</v>
      </c>
      <c r="T50" s="20" t="str">
        <f t="shared" si="15"/>
        <v>%</v>
      </c>
      <c r="U50" s="29"/>
      <c r="V50" s="23">
        <v>24011.08</v>
      </c>
      <c r="W50" s="23">
        <v>72033.239999999991</v>
      </c>
      <c r="X50" s="23">
        <v>289000</v>
      </c>
      <c r="Y50" s="8">
        <f t="shared" si="16"/>
        <v>0.24924996539792385</v>
      </c>
      <c r="Z50" s="29"/>
      <c r="AA50" s="23">
        <f t="shared" si="18"/>
        <v>24011.08</v>
      </c>
      <c r="AB50" s="23">
        <f t="shared" si="19"/>
        <v>72033.239999999991</v>
      </c>
      <c r="AC50" s="23">
        <f t="shared" si="20"/>
        <v>289000</v>
      </c>
      <c r="AD50" s="8">
        <f t="shared" si="17"/>
        <v>0.24924996539792385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19">
        <v>12434.6</v>
      </c>
      <c r="R51" s="19">
        <v>45224.85</v>
      </c>
      <c r="S51" s="19">
        <v>0</v>
      </c>
      <c r="T51" s="20" t="str">
        <f t="shared" si="15"/>
        <v>%</v>
      </c>
      <c r="U51" s="29"/>
      <c r="V51" s="23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12434.6</v>
      </c>
      <c r="AB51" s="23">
        <f t="shared" si="19"/>
        <v>45224.85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70">
        <f>SUM(G36:G51)</f>
        <v>336512.33</v>
      </c>
      <c r="H52" s="57">
        <f>SUM(H36:H51)</f>
        <v>856282.94999999984</v>
      </c>
      <c r="I52" s="57">
        <f>SUM(I36:I51)</f>
        <v>4307973.16</v>
      </c>
      <c r="J52" s="31">
        <f>IF(I52=0,"",H52/I52)</f>
        <v>0.19876701135250338</v>
      </c>
      <c r="K52" s="29"/>
      <c r="L52" s="57">
        <f>SUM(L36:L50)</f>
        <v>24931.46</v>
      </c>
      <c r="M52" s="57">
        <f>SUM(M36:M50)</f>
        <v>119396.36</v>
      </c>
      <c r="N52" s="57">
        <f>SUM(N36:N50)</f>
        <v>341252.17</v>
      </c>
      <c r="O52" s="31">
        <f>IF(N52=0,"",M52/N52)</f>
        <v>0.34987721836318286</v>
      </c>
      <c r="P52" s="29"/>
      <c r="Q52" s="70">
        <f>SUM(Q36:Q51)</f>
        <v>12434.6</v>
      </c>
      <c r="R52" s="70">
        <f>SUM(R36:R51)</f>
        <v>45224.85</v>
      </c>
      <c r="S52" s="70">
        <f>SUM(S36:S51)</f>
        <v>0</v>
      </c>
      <c r="T52" s="150" t="str">
        <f>IF(S52=0,"",R52/S52)</f>
        <v/>
      </c>
      <c r="U52" s="29"/>
      <c r="V52" s="57">
        <f>SUM(V36:V51)</f>
        <v>111146.95</v>
      </c>
      <c r="W52" s="57">
        <f>SUM(W36:W51)</f>
        <v>202967.38</v>
      </c>
      <c r="X52" s="57">
        <f>SUM(X36:X51)</f>
        <v>371687</v>
      </c>
      <c r="Y52" s="31">
        <f>IF(X52=0,"",W52/X52)</f>
        <v>0.54607069927116092</v>
      </c>
      <c r="Z52" s="29"/>
      <c r="AA52" s="57">
        <f>SUM(AA36:AA51)</f>
        <v>485025.34</v>
      </c>
      <c r="AB52" s="57">
        <f>SUM(AB36:AB51)</f>
        <v>1223871.5399999998</v>
      </c>
      <c r="AC52" s="57">
        <f>SUM(AC36:AC51)</f>
        <v>5020912.33</v>
      </c>
      <c r="AD52" s="31">
        <f>IF(AC52=0,"",AB52/AC52)</f>
        <v>0.24375481178736291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70">
        <f>G32-G52</f>
        <v>112078.90000000002</v>
      </c>
      <c r="H53" s="57">
        <f>H32-H52</f>
        <v>509168.00000000035</v>
      </c>
      <c r="I53" s="57">
        <f>I32-I52</f>
        <v>963434.83999999985</v>
      </c>
      <c r="J53" s="31">
        <f>IF(I53=0,"",H53/I53)</f>
        <v>0.52849240951261467</v>
      </c>
      <c r="K53" s="29"/>
      <c r="L53" s="57">
        <f>L32-L52</f>
        <v>-24931.46</v>
      </c>
      <c r="M53" s="57">
        <f>M32-M52</f>
        <v>-53440.92</v>
      </c>
      <c r="N53" s="57">
        <f>N32-N52</f>
        <v>0</v>
      </c>
      <c r="O53" s="31" t="str">
        <f>IF(N53=0,"",M53/N53)</f>
        <v/>
      </c>
      <c r="P53" s="29"/>
      <c r="Q53" s="70">
        <f>Q32-Q52</f>
        <v>1200.1099999999988</v>
      </c>
      <c r="R53" s="70">
        <f>R32-R52</f>
        <v>8877.7200000000012</v>
      </c>
      <c r="S53" s="70">
        <f>S32-S52</f>
        <v>0</v>
      </c>
      <c r="T53" s="150" t="str">
        <f>IF(S53=0,"",R53/S53)</f>
        <v/>
      </c>
      <c r="U53" s="29"/>
      <c r="V53" s="57">
        <f>V32-V52</f>
        <v>-42749.95</v>
      </c>
      <c r="W53" s="57">
        <f>W32-W52</f>
        <v>-134570.38</v>
      </c>
      <c r="X53" s="57">
        <f>X32-X52</f>
        <v>0</v>
      </c>
      <c r="Y53" s="31" t="str">
        <f>IF(X53=0,"",W53/X53)</f>
        <v/>
      </c>
      <c r="Z53" s="29"/>
      <c r="AA53" s="57">
        <f>AA32-AA52</f>
        <v>45597.600000000035</v>
      </c>
      <c r="AB53" s="57">
        <f>AB32-AB52</f>
        <v>330034.42000000039</v>
      </c>
      <c r="AC53" s="57">
        <f>AC32-AC52</f>
        <v>963434.83999999985</v>
      </c>
      <c r="AD53" s="31">
        <f>IF(AC53=0,"",AB53/AC53)</f>
        <v>0.34256018808703287</v>
      </c>
    </row>
    <row r="54" spans="1:30" x14ac:dyDescent="0.2">
      <c r="A54" s="3"/>
      <c r="B54" s="3"/>
      <c r="C54" s="5"/>
      <c r="D54" s="5"/>
      <c r="E54" s="5"/>
      <c r="F54" s="5"/>
      <c r="G54" s="28"/>
      <c r="H54" s="29"/>
      <c r="I54" s="29"/>
      <c r="J54" s="8"/>
      <c r="K54" s="29"/>
      <c r="L54" s="29"/>
      <c r="M54" s="29"/>
      <c r="N54" s="29"/>
      <c r="O54" s="8"/>
      <c r="P54" s="29"/>
      <c r="Q54" s="28"/>
      <c r="R54" s="28"/>
      <c r="S54" s="28"/>
      <c r="T54" s="20"/>
      <c r="U54" s="29"/>
      <c r="V54" s="29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8"/>
      <c r="H55" s="29"/>
      <c r="I55" s="29"/>
      <c r="J55" s="8"/>
      <c r="K55" s="29"/>
      <c r="L55" s="29"/>
      <c r="M55" s="29"/>
      <c r="N55" s="29"/>
      <c r="O55" s="8"/>
      <c r="P55" s="29"/>
      <c r="Q55" s="28"/>
      <c r="R55" s="28"/>
      <c r="S55" s="28"/>
      <c r="T55" s="20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9"/>
      <c r="V56" s="66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87326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68289.72</v>
      </c>
      <c r="H57" s="19">
        <v>195589.25</v>
      </c>
      <c r="I57" s="19">
        <v>1050760.8</v>
      </c>
      <c r="J57" s="8">
        <f>IF(I57=0,"%",H57/I57)</f>
        <v>0.18614060402710111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9"/>
      <c r="V57" s="66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68289.72</v>
      </c>
      <c r="AB57" s="59">
        <f t="shared" si="21"/>
        <v>195589.25</v>
      </c>
      <c r="AC57" s="59">
        <f t="shared" si="21"/>
        <v>1050760.8</v>
      </c>
      <c r="AD57" s="8">
        <f>IF(AC57=0,"%",AB57/AC57)</f>
        <v>0.18614060402710111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70">
        <f>SUM(G56:G57)</f>
        <v>68289.72</v>
      </c>
      <c r="H58" s="57">
        <f>SUM(H56-H57)</f>
        <v>-195589.25</v>
      </c>
      <c r="I58" s="57">
        <f>SUM(I56:I57)</f>
        <v>1138086.8</v>
      </c>
      <c r="J58" s="31">
        <f>IF(I58=0,"",H58/I58)</f>
        <v>-0.17185793737349384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70">
        <f>SUM(Q56:Q57)</f>
        <v>0</v>
      </c>
      <c r="R58" s="70">
        <f>SUM(R56:R57)</f>
        <v>0</v>
      </c>
      <c r="S58" s="70">
        <f>SUM(S56:S57)</f>
        <v>0</v>
      </c>
      <c r="T58" s="150" t="str">
        <f>IF(S58=0,"",R58/S58)</f>
        <v/>
      </c>
      <c r="U58" s="29"/>
      <c r="V58" s="57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68289.72</v>
      </c>
      <c r="AB58" s="57">
        <f>AB56-AB57</f>
        <v>-195589.25</v>
      </c>
      <c r="AC58" s="57">
        <f>SUM(AC56:AC57)</f>
        <v>1138086.8</v>
      </c>
      <c r="AD58" s="31">
        <f>IF(AC58=0,"",AB58/AC58)</f>
        <v>-0.17185793737349384</v>
      </c>
    </row>
    <row r="59" spans="1:30" x14ac:dyDescent="0.2">
      <c r="A59" s="3"/>
      <c r="B59" s="3"/>
      <c r="C59" s="5"/>
      <c r="D59" s="5"/>
      <c r="E59" s="74"/>
      <c r="F59" s="5"/>
      <c r="G59" s="28"/>
      <c r="H59" s="29"/>
      <c r="I59" s="29"/>
      <c r="J59" s="8"/>
      <c r="K59" s="29"/>
      <c r="L59" s="29"/>
      <c r="M59" s="29"/>
      <c r="N59" s="29"/>
      <c r="O59" s="8"/>
      <c r="P59" s="29"/>
      <c r="Q59" s="28"/>
      <c r="R59" s="28"/>
      <c r="S59" s="28"/>
      <c r="T59" s="20"/>
      <c r="U59" s="29"/>
      <c r="V59" s="29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68"/>
      <c r="H60" s="59">
        <f>H53+H58</f>
        <v>313578.75000000035</v>
      </c>
      <c r="I60" s="59"/>
      <c r="J60" s="8" t="str">
        <f>IF(I60=0,"",H60/I60)</f>
        <v/>
      </c>
      <c r="K60" s="29"/>
      <c r="L60" s="59"/>
      <c r="M60" s="59">
        <f>M32-M52+M58</f>
        <v>-53440.92</v>
      </c>
      <c r="N60" s="59"/>
      <c r="O60" s="29"/>
      <c r="P60" s="29"/>
      <c r="Q60" s="68"/>
      <c r="R60" s="68">
        <f>R32-R52+R58</f>
        <v>8877.7200000000012</v>
      </c>
      <c r="S60" s="68">
        <f>S32-S52+S58</f>
        <v>0</v>
      </c>
      <c r="T60" s="28"/>
      <c r="U60" s="29">
        <f>U32-U52+U58</f>
        <v>0</v>
      </c>
      <c r="V60" s="59"/>
      <c r="W60" s="59">
        <f>W32-W52+W58</f>
        <v>-134570.38</v>
      </c>
      <c r="X60" s="59">
        <f>X32-X52+X58</f>
        <v>0</v>
      </c>
      <c r="Y60" s="29"/>
      <c r="Z60" s="29"/>
      <c r="AA60" s="59"/>
      <c r="AB60" s="59">
        <f>AB32-AB52+AB58</f>
        <v>134445.17000000039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68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68"/>
      <c r="R61" s="68"/>
      <c r="S61" s="68"/>
      <c r="T61" s="20" t="str">
        <f>IF(S61=0,"",R61/S61)</f>
        <v/>
      </c>
      <c r="U61" s="29"/>
      <c r="V61" s="59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68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68"/>
      <c r="R62" s="68"/>
      <c r="S62" s="68"/>
      <c r="T62" s="20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70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70">
        <f>SUM(Q61:Q62)</f>
        <v>0</v>
      </c>
      <c r="R63" s="70">
        <f>SUM(R61:R62)</f>
        <v>0</v>
      </c>
      <c r="S63" s="70">
        <f>SUM(S61:S62)</f>
        <v>0</v>
      </c>
      <c r="T63" s="150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8"/>
      <c r="H64" s="29"/>
      <c r="I64" s="29"/>
      <c r="J64" s="8"/>
      <c r="K64" s="29"/>
      <c r="L64" s="29"/>
      <c r="M64" s="29"/>
      <c r="N64" s="29"/>
      <c r="O64" s="8"/>
      <c r="P64" s="29"/>
      <c r="Q64" s="28"/>
      <c r="R64" s="28"/>
      <c r="S64" s="28"/>
      <c r="T64" s="20"/>
      <c r="U64" s="29"/>
      <c r="V64" s="29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148">
        <f>G63+G60</f>
        <v>0</v>
      </c>
      <c r="H65" s="65">
        <f>H63+H60</f>
        <v>313578.75000000035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-53440.92</v>
      </c>
      <c r="N65" s="65">
        <f>N63+N60</f>
        <v>0</v>
      </c>
      <c r="O65" s="38" t="str">
        <f>IF(N65=0,"%",M65/N65)</f>
        <v>%</v>
      </c>
      <c r="P65" s="39"/>
      <c r="Q65" s="148">
        <f>Q63+Q60</f>
        <v>0</v>
      </c>
      <c r="R65" s="148">
        <f>R63+R60</f>
        <v>8877.7200000000012</v>
      </c>
      <c r="S65" s="148">
        <f>S63+S60</f>
        <v>0</v>
      </c>
      <c r="T65" s="151" t="str">
        <f>IF(S65=0,"%",R65/S65)</f>
        <v>%</v>
      </c>
      <c r="U65" s="39"/>
      <c r="V65" s="65">
        <f>V63+V60</f>
        <v>0</v>
      </c>
      <c r="W65" s="65">
        <f>W63+W60</f>
        <v>-134570.38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134445.17000000039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98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 codeName="Sheet6">
    <pageSetUpPr fitToPage="1"/>
  </sheetPr>
  <dimension ref="A1:AE68"/>
  <sheetViews>
    <sheetView topLeftCell="C1" zoomScale="70" zoomScaleNormal="70" zoomScaleSheetLayoutView="50" zoomScalePageLayoutView="40" workbookViewId="0">
      <selection activeCell="O19" sqref="O19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18.5703125" style="149" bestFit="1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6.28515625" style="149" customWidth="1"/>
    <col min="21" max="21" width="2.42578125" style="4" customWidth="1"/>
    <col min="22" max="22" width="16.7109375" style="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5" t="s">
        <v>56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</row>
    <row r="2" spans="1:31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</row>
    <row r="3" spans="1:31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1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1:31" ht="23.25" x14ac:dyDescent="0.35">
      <c r="A5" s="3"/>
      <c r="B5" s="3"/>
      <c r="C5" s="52"/>
      <c r="D5" s="52"/>
      <c r="E5" s="52"/>
      <c r="F5" s="52"/>
      <c r="G5" s="145"/>
      <c r="H5" s="52"/>
      <c r="I5" s="52"/>
      <c r="J5" s="52"/>
      <c r="K5" s="52"/>
      <c r="L5" s="52"/>
      <c r="M5" s="52"/>
      <c r="N5" s="52"/>
      <c r="O5" s="52"/>
      <c r="P5" s="52"/>
      <c r="Q5" s="145"/>
      <c r="R5" s="145"/>
      <c r="S5" s="145"/>
      <c r="T5" s="145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145"/>
      <c r="H6" s="52"/>
      <c r="I6" s="52"/>
      <c r="J6" s="52"/>
      <c r="K6" s="52"/>
      <c r="L6" s="52"/>
      <c r="M6" s="52"/>
      <c r="N6" s="52"/>
      <c r="O6" s="52"/>
      <c r="P6" s="52"/>
      <c r="Q6" s="145"/>
      <c r="R6" s="145"/>
      <c r="S6" s="145"/>
      <c r="T6" s="145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20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17"/>
      <c r="R10" s="17"/>
      <c r="S10" s="17"/>
      <c r="T10" s="17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6" t="s">
        <v>5</v>
      </c>
      <c r="H11" s="127"/>
      <c r="I11" s="127"/>
      <c r="J11" s="128"/>
      <c r="K11" s="9"/>
      <c r="L11" s="126" t="s">
        <v>7</v>
      </c>
      <c r="M11" s="127"/>
      <c r="N11" s="127"/>
      <c r="O11" s="128"/>
      <c r="P11" s="9"/>
      <c r="Q11" s="130" t="s">
        <v>8</v>
      </c>
      <c r="R11" s="131"/>
      <c r="S11" s="131"/>
      <c r="T11" s="132"/>
      <c r="U11" s="9"/>
      <c r="V11" s="130" t="s">
        <v>55</v>
      </c>
      <c r="W11" s="131"/>
      <c r="X11" s="131"/>
      <c r="Y11" s="132"/>
      <c r="Z11" s="9"/>
      <c r="AA11" s="126" t="s">
        <v>9</v>
      </c>
      <c r="AB11" s="127"/>
      <c r="AC11" s="127"/>
      <c r="AD11" s="129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17"/>
      <c r="H13" s="5"/>
      <c r="I13" s="5"/>
      <c r="J13" s="5"/>
      <c r="K13" s="5"/>
      <c r="L13" s="5"/>
      <c r="M13" s="5"/>
      <c r="N13" s="5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17"/>
      <c r="H14" s="5"/>
      <c r="I14" s="5"/>
      <c r="J14" s="5"/>
      <c r="K14" s="5"/>
      <c r="L14" s="5"/>
      <c r="M14" s="5"/>
      <c r="N14" s="5"/>
      <c r="O14" s="5"/>
      <c r="P14" s="5"/>
      <c r="Q14" s="17"/>
      <c r="R14" s="17"/>
      <c r="S14" s="17"/>
      <c r="T14" s="17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17"/>
      <c r="R15" s="17"/>
      <c r="S15" s="17"/>
      <c r="T15" s="17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0</v>
      </c>
      <c r="M17" s="19">
        <v>73803.09</v>
      </c>
      <c r="N17" s="19">
        <v>354543.58</v>
      </c>
      <c r="O17" s="8">
        <f>IF(N17=0,"%",M17/N17)</f>
        <v>0.20816366213710594</v>
      </c>
      <c r="P17" s="26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0</v>
      </c>
      <c r="AB17" s="23">
        <f t="shared" si="1"/>
        <v>73803.09</v>
      </c>
      <c r="AC17" s="23">
        <f t="shared" si="1"/>
        <v>354543.58</v>
      </c>
      <c r="AD17" s="8">
        <f>IF(AC17=0,"%",AB17/AC17)</f>
        <v>0.20816366213710594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19"/>
      <c r="R18" s="19"/>
      <c r="S18" s="19"/>
      <c r="T18" s="20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357107.08</v>
      </c>
      <c r="H19" s="19">
        <v>1094613.3500000001</v>
      </c>
      <c r="I19" s="19">
        <v>4757900</v>
      </c>
      <c r="J19" s="20">
        <f t="shared" si="2"/>
        <v>0.23006228588242714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357107.08</v>
      </c>
      <c r="AB19" s="23">
        <f>H19+M19+R19</f>
        <v>1094613.3500000001</v>
      </c>
      <c r="AC19" s="23">
        <f>I19+N19+S19</f>
        <v>4757900</v>
      </c>
      <c r="AD19" s="8">
        <f t="shared" ref="AD19:AD24" si="6">IF(AC19=0,"%",AB19/AC19)</f>
        <v>0.23006228588242714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v>73015</v>
      </c>
      <c r="W20" s="23">
        <v>73015</v>
      </c>
      <c r="X20" s="19">
        <v>417168</v>
      </c>
      <c r="Y20" s="8">
        <f t="shared" si="5"/>
        <v>0.17502540942737699</v>
      </c>
      <c r="Z20" s="26"/>
      <c r="AA20" s="23">
        <f>G20+L20+Q20+V20</f>
        <v>73015</v>
      </c>
      <c r="AB20" s="23">
        <f>H20+M20+R20+W20</f>
        <v>73015</v>
      </c>
      <c r="AC20" s="23">
        <f>I20+N20+S20+X20</f>
        <v>417168</v>
      </c>
      <c r="AD20" s="8">
        <f>IF(AC20=0,"%",AB20/AC20)</f>
        <v>0.17502540942737699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17808.64</v>
      </c>
      <c r="H21" s="19">
        <v>53425.919999999998</v>
      </c>
      <c r="I21" s="19">
        <v>195895</v>
      </c>
      <c r="J21" s="20">
        <f t="shared" si="2"/>
        <v>0.27272732841573288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6"/>
      <c r="V21" s="23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17808.64</v>
      </c>
      <c r="AB21" s="23">
        <f t="shared" si="7"/>
        <v>53425.919999999998</v>
      </c>
      <c r="AC21" s="23">
        <f t="shared" si="7"/>
        <v>195895</v>
      </c>
      <c r="AD21" s="8">
        <f>IF(AC21=0,"%",AB21/AC21)</f>
        <v>0.27272732841573288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54876.639999999999</v>
      </c>
      <c r="H22" s="19">
        <v>164629.92000000001</v>
      </c>
      <c r="I22" s="19">
        <v>677570</v>
      </c>
      <c r="J22" s="20">
        <f t="shared" si="2"/>
        <v>0.24297108785808111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54876.639999999999</v>
      </c>
      <c r="AB22" s="23">
        <f t="shared" si="7"/>
        <v>164629.92000000001</v>
      </c>
      <c r="AC22" s="23">
        <f t="shared" si="7"/>
        <v>677570</v>
      </c>
      <c r="AD22" s="8">
        <f t="shared" si="6"/>
        <v>0.24297108785808111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19">
        <v>0</v>
      </c>
      <c r="R23" s="19">
        <v>0</v>
      </c>
      <c r="S23" s="19">
        <v>0</v>
      </c>
      <c r="T23" s="20" t="str">
        <f t="shared" si="4"/>
        <v>%</v>
      </c>
      <c r="U23" s="26"/>
      <c r="V23" s="23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3900</v>
      </c>
      <c r="H24" s="19">
        <v>9900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19">
        <v>0</v>
      </c>
      <c r="R24" s="19">
        <v>0</v>
      </c>
      <c r="S24" s="19">
        <v>0</v>
      </c>
      <c r="T24" s="20" t="str">
        <f t="shared" si="4"/>
        <v>%</v>
      </c>
      <c r="U24" s="26"/>
      <c r="V24" s="23">
        <v>125000</v>
      </c>
      <c r="W24" s="23">
        <v>125000</v>
      </c>
      <c r="X24" s="19">
        <v>0</v>
      </c>
      <c r="Y24" s="8" t="str">
        <f t="shared" si="5"/>
        <v>%</v>
      </c>
      <c r="Z24" s="26"/>
      <c r="AA24" s="23">
        <f t="shared" si="7"/>
        <v>3900</v>
      </c>
      <c r="AB24" s="23">
        <f t="shared" si="7"/>
        <v>9900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8"/>
      <c r="P25" s="5"/>
      <c r="Q25" s="19"/>
      <c r="R25" s="19"/>
      <c r="S25" s="19"/>
      <c r="T25" s="20"/>
      <c r="U25" s="5"/>
      <c r="V25" s="23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2" si="8">IF(N26=0,"%",M26/N26)</f>
        <v>%</v>
      </c>
      <c r="P26" s="29"/>
      <c r="Q26" s="19">
        <v>0</v>
      </c>
      <c r="R26" s="19">
        <v>0</v>
      </c>
      <c r="S26" s="19">
        <v>0</v>
      </c>
      <c r="T26" s="20" t="str">
        <f t="shared" ref="T26:T32" si="9">IF(S26=0,"%",R26/S26)</f>
        <v>%</v>
      </c>
      <c r="U26" s="29"/>
      <c r="V26" s="23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24522.79</v>
      </c>
      <c r="H27" s="19">
        <v>72812.67</v>
      </c>
      <c r="I27" s="19">
        <v>294303</v>
      </c>
      <c r="J27" s="20">
        <f t="shared" si="2"/>
        <v>0.24740716200650351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19">
        <v>0</v>
      </c>
      <c r="R27" s="19">
        <v>0</v>
      </c>
      <c r="S27" s="19">
        <v>0</v>
      </c>
      <c r="T27" s="20" t="str">
        <f t="shared" si="9"/>
        <v>%</v>
      </c>
      <c r="U27" s="29"/>
      <c r="V27" s="23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24522.79</v>
      </c>
      <c r="AB27" s="23">
        <f t="shared" si="11"/>
        <v>72812.67</v>
      </c>
      <c r="AC27" s="23">
        <f t="shared" si="11"/>
        <v>294303</v>
      </c>
      <c r="AD27" s="8">
        <f t="shared" si="12"/>
        <v>0.24740716200650351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19">
        <v>0</v>
      </c>
      <c r="R28" s="19">
        <v>0</v>
      </c>
      <c r="S28" s="19">
        <v>0</v>
      </c>
      <c r="T28" s="20" t="str">
        <f t="shared" si="9"/>
        <v>%</v>
      </c>
      <c r="U28" s="29"/>
      <c r="V28" s="23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19">
        <v>0</v>
      </c>
      <c r="R29" s="19">
        <v>0</v>
      </c>
      <c r="S29" s="19">
        <v>0</v>
      </c>
      <c r="T29" s="20" t="str">
        <f t="shared" si="9"/>
        <v>%</v>
      </c>
      <c r="U29" s="29"/>
      <c r="V29" s="23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75</v>
      </c>
      <c r="H30" s="19">
        <v>176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19">
        <v>0</v>
      </c>
      <c r="R30" s="19">
        <v>0</v>
      </c>
      <c r="S30" s="19">
        <v>0</v>
      </c>
      <c r="T30" s="20" t="str">
        <f t="shared" si="9"/>
        <v>%</v>
      </c>
      <c r="U30" s="29"/>
      <c r="V30" s="23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75</v>
      </c>
      <c r="AB30" s="23">
        <f>H30+M30+R30+W30</f>
        <v>176</v>
      </c>
      <c r="AC30" s="23">
        <f>I30+N30+S30</f>
        <v>0</v>
      </c>
      <c r="AD30" s="8" t="str">
        <f t="shared" si="12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8" t="str">
        <f t="shared" si="8"/>
        <v>%</v>
      </c>
      <c r="P31" s="29"/>
      <c r="Q31" s="19">
        <v>0</v>
      </c>
      <c r="R31" s="19">
        <v>0</v>
      </c>
      <c r="S31" s="19">
        <v>0</v>
      </c>
      <c r="T31" s="20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8" t="str">
        <f t="shared" si="8"/>
        <v>%</v>
      </c>
      <c r="P32" s="29"/>
      <c r="Q32" s="19">
        <v>28221.5</v>
      </c>
      <c r="R32" s="19">
        <v>55586.16</v>
      </c>
      <c r="S32" s="19">
        <v>0</v>
      </c>
      <c r="T32" s="20" t="str">
        <f t="shared" si="9"/>
        <v>%</v>
      </c>
      <c r="U32" s="29"/>
      <c r="V32" s="23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28221.5</v>
      </c>
      <c r="AB32" s="23">
        <f>H32+M32+R32</f>
        <v>55586.16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147">
        <f>SUM(G16:G32)</f>
        <v>458290.15</v>
      </c>
      <c r="H33" s="30">
        <f>SUM(H16:H32)</f>
        <v>1395557.8599999999</v>
      </c>
      <c r="I33" s="30">
        <f>SUM(I16:I32)</f>
        <v>5925668</v>
      </c>
      <c r="J33" s="31">
        <f>IF(I33=0,"",H33/I33)</f>
        <v>0.23551063947558315</v>
      </c>
      <c r="K33" s="29"/>
      <c r="L33" s="30">
        <f>SUM(L16:L32)</f>
        <v>0</v>
      </c>
      <c r="M33" s="30">
        <f>SUM(M16:M32)</f>
        <v>73803.09</v>
      </c>
      <c r="N33" s="30">
        <f>SUM(N16:N32)</f>
        <v>354543.58</v>
      </c>
      <c r="O33" s="31">
        <f>IF(N33=0,"",M33/N33)</f>
        <v>0.20816366213710594</v>
      </c>
      <c r="P33" s="29"/>
      <c r="Q33" s="147">
        <f>SUM(Q16:Q32)</f>
        <v>28221.5</v>
      </c>
      <c r="R33" s="147">
        <f>SUM(R16:R32)</f>
        <v>55586.16</v>
      </c>
      <c r="S33" s="147">
        <f>SUM(S16:S32)</f>
        <v>0</v>
      </c>
      <c r="T33" s="150" t="str">
        <f>IF(S33=0,"",R33/S33)</f>
        <v/>
      </c>
      <c r="U33" s="29"/>
      <c r="V33" s="30">
        <f>SUM(V16:V32)</f>
        <v>198015</v>
      </c>
      <c r="W33" s="30">
        <f>SUM(W16:W32)</f>
        <v>198015</v>
      </c>
      <c r="X33" s="30">
        <f>SUM(X16:X32)</f>
        <v>536472.42000000004</v>
      </c>
      <c r="Y33" s="31">
        <f>IF(X33=0,"",W33/X33)</f>
        <v>0.3691056475932164</v>
      </c>
      <c r="Z33" s="29"/>
      <c r="AA33" s="30">
        <f>SUM(AA16:AA32)</f>
        <v>559526.65</v>
      </c>
      <c r="AB33" s="30">
        <f>SUM(AB16:AB32)</f>
        <v>1597962.1099999999</v>
      </c>
      <c r="AC33" s="30">
        <f>SUM(AC16:AC32)</f>
        <v>6697379.5800000001</v>
      </c>
      <c r="AD33" s="31">
        <f>IF(AC33=0,"",AB33/AC33)</f>
        <v>0.23859512379616385</v>
      </c>
    </row>
    <row r="34" spans="1:30" x14ac:dyDescent="0.2">
      <c r="A34" s="3"/>
      <c r="B34" s="3"/>
      <c r="C34" s="5"/>
      <c r="D34" s="5"/>
      <c r="E34" s="5"/>
      <c r="F34" s="5"/>
      <c r="G34" s="28"/>
      <c r="H34" s="29"/>
      <c r="I34" s="29"/>
      <c r="J34" s="8"/>
      <c r="K34" s="29"/>
      <c r="L34" s="29"/>
      <c r="M34" s="29"/>
      <c r="N34" s="29"/>
      <c r="O34" s="8"/>
      <c r="P34" s="29"/>
      <c r="Q34" s="28"/>
      <c r="R34" s="28"/>
      <c r="S34" s="28"/>
      <c r="T34" s="20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8"/>
      <c r="H35" s="29"/>
      <c r="I35" s="29"/>
      <c r="J35" s="8"/>
      <c r="K35" s="29"/>
      <c r="L35" s="29"/>
      <c r="M35" s="29"/>
      <c r="N35" s="29"/>
      <c r="O35" s="8"/>
      <c r="P35" s="29"/>
      <c r="Q35" s="28"/>
      <c r="R35" s="28"/>
      <c r="S35" s="28"/>
      <c r="T35" s="20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8"/>
      <c r="H36" s="29"/>
      <c r="I36" s="29"/>
      <c r="J36" s="8"/>
      <c r="K36" s="29"/>
      <c r="L36" s="29"/>
      <c r="M36" s="29"/>
      <c r="N36" s="29"/>
      <c r="O36" s="8"/>
      <c r="P36" s="29"/>
      <c r="Q36" s="28"/>
      <c r="R36" s="28"/>
      <c r="S36" s="28"/>
      <c r="T36" s="20"/>
      <c r="U36" s="29"/>
      <c r="V36" s="29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274934.67</v>
      </c>
      <c r="H37" s="19">
        <v>587188.7699999999</v>
      </c>
      <c r="I37" s="19">
        <v>3574658.18</v>
      </c>
      <c r="J37" s="8">
        <f t="shared" ref="J37:J52" si="13">IF(I37=0,"%",H37/I37)</f>
        <v>0.16426431295872879</v>
      </c>
      <c r="K37" s="29"/>
      <c r="L37" s="19">
        <v>11143.91</v>
      </c>
      <c r="M37" s="19">
        <v>28786.649999999998</v>
      </c>
      <c r="N37" s="19">
        <v>160461.66999999998</v>
      </c>
      <c r="O37" s="8">
        <f t="shared" ref="O37:O52" si="14">IF(N37=0,"%",M37/N37)</f>
        <v>0.17939891813415629</v>
      </c>
      <c r="P37" s="29"/>
      <c r="Q37" s="19">
        <v>0</v>
      </c>
      <c r="R37" s="19">
        <v>0</v>
      </c>
      <c r="S37" s="19">
        <v>0</v>
      </c>
      <c r="T37" s="20" t="str">
        <f t="shared" ref="T37:T52" si="15">IF(S37=0,"%",R37/S37)</f>
        <v>%</v>
      </c>
      <c r="U37" s="29"/>
      <c r="V37" s="23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286078.57999999996</v>
      </c>
      <c r="AB37" s="23">
        <f>H37+M37+R37+W37</f>
        <v>615975.41999999993</v>
      </c>
      <c r="AC37" s="23">
        <f>I37+N37+S37+X37</f>
        <v>3735119.85</v>
      </c>
      <c r="AD37" s="8">
        <f t="shared" ref="AD37:AD52" si="17">IF(AC37=0,"%",AB37/AC37)</f>
        <v>0.16491449932992108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4503.97</v>
      </c>
      <c r="H38" s="19">
        <v>8922.58</v>
      </c>
      <c r="I38" s="19">
        <v>54313.98</v>
      </c>
      <c r="J38" s="8">
        <f t="shared" si="13"/>
        <v>0.16427777894383727</v>
      </c>
      <c r="K38" s="29"/>
      <c r="L38" s="23">
        <v>15244.98</v>
      </c>
      <c r="M38" s="23">
        <v>35801.18</v>
      </c>
      <c r="N38" s="23">
        <v>194081.9</v>
      </c>
      <c r="O38" s="8">
        <f t="shared" si="14"/>
        <v>0.18446429059072486</v>
      </c>
      <c r="P38" s="29"/>
      <c r="Q38" s="19">
        <v>0</v>
      </c>
      <c r="R38" s="19">
        <v>0</v>
      </c>
      <c r="S38" s="19">
        <v>0</v>
      </c>
      <c r="T38" s="20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19748.95</v>
      </c>
      <c r="AB38" s="23">
        <f t="shared" ref="AB38:AB50" si="19">H38+M38+R38+W38</f>
        <v>44723.76</v>
      </c>
      <c r="AC38" s="23">
        <f t="shared" ref="AC38:AC52" si="20">I38+N38+S38+X38</f>
        <v>248395.88</v>
      </c>
      <c r="AD38" s="8">
        <f t="shared" si="17"/>
        <v>0.18005032933718546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9000</v>
      </c>
      <c r="H39" s="19">
        <v>9000</v>
      </c>
      <c r="I39" s="19">
        <v>13250</v>
      </c>
      <c r="J39" s="8">
        <f t="shared" si="13"/>
        <v>0.67924528301886788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19">
        <v>0</v>
      </c>
      <c r="R39" s="19">
        <v>0</v>
      </c>
      <c r="S39" s="19">
        <v>0</v>
      </c>
      <c r="T39" s="20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9000</v>
      </c>
      <c r="AB39" s="23">
        <f t="shared" si="19"/>
        <v>9000</v>
      </c>
      <c r="AC39" s="23">
        <f t="shared" si="20"/>
        <v>13250</v>
      </c>
      <c r="AD39" s="8">
        <f t="shared" si="17"/>
        <v>0.67924528301886788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19">
        <v>0</v>
      </c>
      <c r="R40" s="19">
        <v>0</v>
      </c>
      <c r="S40" s="19">
        <v>0</v>
      </c>
      <c r="T40" s="20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54158.820000000007</v>
      </c>
      <c r="H41" s="19">
        <v>144565.75</v>
      </c>
      <c r="I41" s="19">
        <v>676948.39</v>
      </c>
      <c r="J41" s="8">
        <f t="shared" si="13"/>
        <v>0.21355505402708763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19">
        <v>0</v>
      </c>
      <c r="R41" s="19">
        <v>0</v>
      </c>
      <c r="S41" s="19">
        <v>0</v>
      </c>
      <c r="T41" s="20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54158.820000000007</v>
      </c>
      <c r="AB41" s="23">
        <f t="shared" si="19"/>
        <v>144565.75</v>
      </c>
      <c r="AC41" s="23">
        <f t="shared" si="20"/>
        <v>676948.39</v>
      </c>
      <c r="AD41" s="8">
        <f t="shared" si="17"/>
        <v>0.21355505402708763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19">
        <v>0</v>
      </c>
      <c r="R42" s="19">
        <v>0</v>
      </c>
      <c r="S42" s="19">
        <v>0</v>
      </c>
      <c r="T42" s="20" t="str">
        <f t="shared" si="15"/>
        <v>%</v>
      </c>
      <c r="U42" s="29"/>
      <c r="V42" s="23">
        <v>558018.22</v>
      </c>
      <c r="W42" s="23">
        <v>1667176.3199999998</v>
      </c>
      <c r="X42" s="23">
        <v>4136594.41</v>
      </c>
      <c r="Y42" s="8">
        <f t="shared" si="16"/>
        <v>0.40303113014166642</v>
      </c>
      <c r="Z42" s="29"/>
      <c r="AA42" s="23">
        <f t="shared" si="18"/>
        <v>558018.22</v>
      </c>
      <c r="AB42" s="23">
        <f>H42+M42+R42+W42</f>
        <v>1667176.3199999998</v>
      </c>
      <c r="AC42" s="23">
        <f t="shared" si="20"/>
        <v>4136594.41</v>
      </c>
      <c r="AD42" s="8">
        <f t="shared" si="17"/>
        <v>0.40303113014166642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2286.56</v>
      </c>
      <c r="H43" s="19">
        <v>6963.64</v>
      </c>
      <c r="I43" s="19">
        <v>28626</v>
      </c>
      <c r="J43" s="8">
        <f t="shared" si="13"/>
        <v>0.24326276811290437</v>
      </c>
      <c r="K43" s="29"/>
      <c r="L43" s="23">
        <v>0</v>
      </c>
      <c r="M43" s="23">
        <v>0</v>
      </c>
      <c r="N43" s="23">
        <v>0</v>
      </c>
      <c r="O43" s="8" t="str">
        <f t="shared" si="14"/>
        <v>%</v>
      </c>
      <c r="P43" s="29"/>
      <c r="Q43" s="19">
        <v>0</v>
      </c>
      <c r="R43" s="19">
        <v>0</v>
      </c>
      <c r="S43" s="19">
        <v>0</v>
      </c>
      <c r="T43" s="20" t="str">
        <f t="shared" si="15"/>
        <v>%</v>
      </c>
      <c r="U43" s="29"/>
      <c r="V43" s="23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2286.56</v>
      </c>
      <c r="AB43" s="23">
        <f>H43+M43+R43+W43</f>
        <v>6963.64</v>
      </c>
      <c r="AC43" s="23">
        <f>I43+N43+S43+X43</f>
        <v>30626</v>
      </c>
      <c r="AD43" s="8">
        <f t="shared" si="17"/>
        <v>0.22737673871873573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8" t="str">
        <f t="shared" si="14"/>
        <v>%</v>
      </c>
      <c r="P44" s="29"/>
      <c r="Q44" s="19">
        <v>0</v>
      </c>
      <c r="R44" s="19">
        <v>0</v>
      </c>
      <c r="S44" s="19">
        <v>0</v>
      </c>
      <c r="T44" s="20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8" t="str">
        <f t="shared" si="14"/>
        <v>%</v>
      </c>
      <c r="P45" s="29"/>
      <c r="Q45" s="19">
        <v>0</v>
      </c>
      <c r="R45" s="19">
        <v>0</v>
      </c>
      <c r="S45" s="19">
        <v>0</v>
      </c>
      <c r="T45" s="20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0</v>
      </c>
      <c r="H46" s="19">
        <v>483.75</v>
      </c>
      <c r="I46" s="19">
        <v>12000</v>
      </c>
      <c r="J46" s="8">
        <f t="shared" si="13"/>
        <v>4.0312500000000001E-2</v>
      </c>
      <c r="K46" s="29"/>
      <c r="L46" s="23">
        <v>0</v>
      </c>
      <c r="M46" s="23">
        <v>0</v>
      </c>
      <c r="N46" s="23">
        <v>0</v>
      </c>
      <c r="O46" s="8" t="str">
        <f t="shared" si="14"/>
        <v>%</v>
      </c>
      <c r="P46" s="29"/>
      <c r="Q46" s="19">
        <v>0</v>
      </c>
      <c r="R46" s="19">
        <v>0</v>
      </c>
      <c r="S46" s="19">
        <v>0</v>
      </c>
      <c r="T46" s="20" t="str">
        <f t="shared" si="15"/>
        <v>%</v>
      </c>
      <c r="U46" s="29"/>
      <c r="V46" s="23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0</v>
      </c>
      <c r="AB46" s="23">
        <f t="shared" si="19"/>
        <v>483.75</v>
      </c>
      <c r="AC46" s="23">
        <f t="shared" si="20"/>
        <v>12000</v>
      </c>
      <c r="AD46" s="8">
        <f t="shared" si="17"/>
        <v>4.0312500000000001E-2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50064.32</v>
      </c>
      <c r="H47" s="19">
        <v>220317.09</v>
      </c>
      <c r="I47" s="19">
        <v>530551.88</v>
      </c>
      <c r="J47" s="8">
        <f t="shared" si="13"/>
        <v>0.41526021922681716</v>
      </c>
      <c r="K47" s="29"/>
      <c r="L47" s="23">
        <v>0</v>
      </c>
      <c r="M47" s="23">
        <v>0</v>
      </c>
      <c r="N47" s="23">
        <v>0</v>
      </c>
      <c r="O47" s="8" t="str">
        <f t="shared" si="14"/>
        <v>%</v>
      </c>
      <c r="P47" s="29"/>
      <c r="Q47" s="19">
        <v>0</v>
      </c>
      <c r="R47" s="19">
        <v>0</v>
      </c>
      <c r="S47" s="19">
        <v>0</v>
      </c>
      <c r="T47" s="20" t="str">
        <f t="shared" si="15"/>
        <v>%</v>
      </c>
      <c r="U47" s="29"/>
      <c r="V47" s="23">
        <v>0</v>
      </c>
      <c r="W47" s="23">
        <v>0</v>
      </c>
      <c r="X47" s="23">
        <v>0</v>
      </c>
      <c r="Y47" s="8" t="str">
        <f t="shared" si="16"/>
        <v>%</v>
      </c>
      <c r="Z47" s="29"/>
      <c r="AA47" s="23">
        <f t="shared" si="18"/>
        <v>50064.32</v>
      </c>
      <c r="AB47" s="23">
        <f t="shared" si="19"/>
        <v>220317.09</v>
      </c>
      <c r="AC47" s="23">
        <f t="shared" si="20"/>
        <v>530551.88</v>
      </c>
      <c r="AD47" s="8">
        <f t="shared" si="17"/>
        <v>0.41526021922681716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8" t="str">
        <f t="shared" si="14"/>
        <v>%</v>
      </c>
      <c r="P48" s="29"/>
      <c r="Q48" s="19">
        <v>0</v>
      </c>
      <c r="R48" s="19">
        <v>0</v>
      </c>
      <c r="S48" s="19">
        <v>0</v>
      </c>
      <c r="T48" s="20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8" t="str">
        <f t="shared" si="14"/>
        <v>%</v>
      </c>
      <c r="P49" s="29"/>
      <c r="Q49" s="19">
        <v>0</v>
      </c>
      <c r="R49" s="19">
        <v>0</v>
      </c>
      <c r="S49" s="19">
        <v>0</v>
      </c>
      <c r="T49" s="20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197.97</v>
      </c>
      <c r="H50" s="19">
        <v>197.97</v>
      </c>
      <c r="I50" s="19">
        <v>24318.2</v>
      </c>
      <c r="J50" s="8">
        <f t="shared" si="13"/>
        <v>8.1408163433148838E-3</v>
      </c>
      <c r="K50" s="29"/>
      <c r="L50" s="23">
        <v>0</v>
      </c>
      <c r="M50" s="23">
        <v>0</v>
      </c>
      <c r="N50" s="23">
        <v>0</v>
      </c>
      <c r="O50" s="8" t="str">
        <f t="shared" si="14"/>
        <v>%</v>
      </c>
      <c r="P50" s="29"/>
      <c r="Q50" s="19">
        <v>0</v>
      </c>
      <c r="R50" s="19">
        <v>0</v>
      </c>
      <c r="S50" s="19">
        <v>0</v>
      </c>
      <c r="T50" s="20" t="str">
        <f t="shared" si="15"/>
        <v>%</v>
      </c>
      <c r="U50" s="29"/>
      <c r="V50" s="23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197.97</v>
      </c>
      <c r="AB50" s="23">
        <f t="shared" si="19"/>
        <v>197.97</v>
      </c>
      <c r="AC50" s="23">
        <f t="shared" si="20"/>
        <v>24318.2</v>
      </c>
      <c r="AD50" s="8">
        <f t="shared" si="17"/>
        <v>8.1408163433148838E-3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19">
        <v>0</v>
      </c>
      <c r="R51" s="19">
        <v>0</v>
      </c>
      <c r="S51" s="19">
        <v>0</v>
      </c>
      <c r="T51" s="20" t="str">
        <f t="shared" si="15"/>
        <v>%</v>
      </c>
      <c r="U51" s="29"/>
      <c r="V51" s="23">
        <v>0</v>
      </c>
      <c r="W51" s="23">
        <v>110499.09</v>
      </c>
      <c r="X51" s="23">
        <v>475845</v>
      </c>
      <c r="Y51" s="8">
        <f t="shared" si="16"/>
        <v>0.23221656211581501</v>
      </c>
      <c r="Z51" s="29"/>
      <c r="AA51" s="23">
        <f t="shared" si="18"/>
        <v>0</v>
      </c>
      <c r="AB51" s="23">
        <f>H51+M51+R51+W51</f>
        <v>110499.09</v>
      </c>
      <c r="AC51" s="23">
        <f t="shared" si="20"/>
        <v>475845</v>
      </c>
      <c r="AD51" s="8">
        <f t="shared" si="17"/>
        <v>0.23221656211581501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8" t="str">
        <f t="shared" si="14"/>
        <v>%</v>
      </c>
      <c r="P52" s="29"/>
      <c r="Q52" s="19">
        <v>18045</v>
      </c>
      <c r="R52" s="19">
        <v>26192.54</v>
      </c>
      <c r="S52" s="19">
        <v>0</v>
      </c>
      <c r="T52" s="20" t="str">
        <f t="shared" si="15"/>
        <v>%</v>
      </c>
      <c r="U52" s="29"/>
      <c r="V52" s="23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18045</v>
      </c>
      <c r="AB52" s="23">
        <f>H52+M52+R52+W52</f>
        <v>26192.54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70">
        <f>SUM(G37:G52)</f>
        <v>395146.30999999994</v>
      </c>
      <c r="H53" s="57">
        <f>SUM(H37:H52)</f>
        <v>977639.54999999981</v>
      </c>
      <c r="I53" s="57">
        <f>SUM(I37:I52)</f>
        <v>4914666.63</v>
      </c>
      <c r="J53" s="31">
        <f>IF(I53=0,"",H53/I53)</f>
        <v>0.19892286163059647</v>
      </c>
      <c r="K53" s="29"/>
      <c r="L53" s="57">
        <f>SUM(L37:L51)</f>
        <v>26388.89</v>
      </c>
      <c r="M53" s="57">
        <f>SUM(M37:M51)</f>
        <v>64587.83</v>
      </c>
      <c r="N53" s="57">
        <f>SUM(N37:N51)</f>
        <v>354543.56999999995</v>
      </c>
      <c r="O53" s="31">
        <f>IF(N53=0,"",M53/N53)</f>
        <v>0.18217177087713088</v>
      </c>
      <c r="P53" s="29"/>
      <c r="Q53" s="70">
        <f>SUM(Q37:Q52)</f>
        <v>18045</v>
      </c>
      <c r="R53" s="70">
        <f>SUM(R37:R52)</f>
        <v>26192.54</v>
      </c>
      <c r="S53" s="70">
        <f>SUM(S37:S52)</f>
        <v>0</v>
      </c>
      <c r="T53" s="150" t="str">
        <f>IF(S53=0,"",R53/S53)</f>
        <v/>
      </c>
      <c r="U53" s="29"/>
      <c r="V53" s="57">
        <f>SUM(V37:V52)</f>
        <v>558018.22</v>
      </c>
      <c r="W53" s="57">
        <f>SUM(W37:W52)</f>
        <v>1777675.41</v>
      </c>
      <c r="X53" s="57">
        <f>SUM(X37:X52)</f>
        <v>4614439.41</v>
      </c>
      <c r="Y53" s="31">
        <f>IF(X53=0,"",W53/X53)</f>
        <v>0.38524190092247845</v>
      </c>
      <c r="Z53" s="29"/>
      <c r="AA53" s="57">
        <f>SUM(AA37:AA52)</f>
        <v>997598.41999999993</v>
      </c>
      <c r="AB53" s="57">
        <f>SUM(AB37:AB52)</f>
        <v>2846095.33</v>
      </c>
      <c r="AC53" s="57">
        <f>SUM(AC37:AC52)</f>
        <v>9883649.6100000013</v>
      </c>
      <c r="AD53" s="31">
        <f>IF(AC53=0,"",AB53/AC53)</f>
        <v>0.28795995834579163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146">
        <f>G33-G53</f>
        <v>63143.840000000084</v>
      </c>
      <c r="H54" s="58">
        <f>H33-H53</f>
        <v>417918.31000000006</v>
      </c>
      <c r="I54" s="58">
        <f>I33-I53</f>
        <v>1011001.3700000001</v>
      </c>
      <c r="J54" s="31">
        <f>IF(I54=0,"",H54/I54)</f>
        <v>0.41337066635231168</v>
      </c>
      <c r="K54" s="29"/>
      <c r="L54" s="58">
        <f>L33-L53</f>
        <v>-26388.89</v>
      </c>
      <c r="M54" s="58">
        <f>M33-M53</f>
        <v>9215.2599999999948</v>
      </c>
      <c r="N54" s="58">
        <f>N33-N53</f>
        <v>1.0000000067520887E-2</v>
      </c>
      <c r="O54" s="31"/>
      <c r="P54" s="29"/>
      <c r="Q54" s="146">
        <f>Q33-Q53</f>
        <v>10176.5</v>
      </c>
      <c r="R54" s="146">
        <f>R33-R53</f>
        <v>29393.620000000003</v>
      </c>
      <c r="S54" s="146">
        <f>S33-S53</f>
        <v>0</v>
      </c>
      <c r="T54" s="150" t="str">
        <f>IF(S54=0,"",R54/S54)</f>
        <v/>
      </c>
      <c r="U54" s="29"/>
      <c r="V54" s="58">
        <f>V33-V53</f>
        <v>-360003.22</v>
      </c>
      <c r="W54" s="58">
        <f>W33-W53</f>
        <v>-1579660.41</v>
      </c>
      <c r="X54" s="58">
        <f>X33-X53</f>
        <v>-4077966.99</v>
      </c>
      <c r="Y54" s="31">
        <f>IF(X54=0,"",W54/X54)</f>
        <v>0.38736468781469952</v>
      </c>
      <c r="Z54" s="29"/>
      <c r="AA54" s="58">
        <f>AA33-AA53</f>
        <v>-438071.7699999999</v>
      </c>
      <c r="AB54" s="58">
        <f>AB33-AB53</f>
        <v>-1248133.2200000002</v>
      </c>
      <c r="AC54" s="58">
        <f>AC33-AC53</f>
        <v>-3186270.0300000012</v>
      </c>
      <c r="AD54" s="31">
        <f>IF(AC54=0,"",AB54/AC54)</f>
        <v>0.39172236133420235</v>
      </c>
    </row>
    <row r="55" spans="1:30" x14ac:dyDescent="0.2">
      <c r="A55" s="3"/>
      <c r="B55" s="3"/>
      <c r="C55" s="5"/>
      <c r="D55" s="5"/>
      <c r="E55" s="5"/>
      <c r="F55" s="5"/>
      <c r="G55" s="28"/>
      <c r="H55" s="29"/>
      <c r="I55" s="29"/>
      <c r="J55" s="8"/>
      <c r="K55" s="29"/>
      <c r="L55" s="29"/>
      <c r="M55" s="29"/>
      <c r="N55" s="29"/>
      <c r="O55" s="8"/>
      <c r="P55" s="29"/>
      <c r="Q55" s="28"/>
      <c r="R55" s="28"/>
      <c r="S55" s="28"/>
      <c r="T55" s="20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8"/>
      <c r="H56" s="29"/>
      <c r="I56" s="29"/>
      <c r="J56" s="8"/>
      <c r="K56" s="29"/>
      <c r="L56" s="29"/>
      <c r="M56" s="29"/>
      <c r="N56" s="29"/>
      <c r="O56" s="8"/>
      <c r="P56" s="29"/>
      <c r="Q56" s="28"/>
      <c r="R56" s="28"/>
      <c r="S56" s="28"/>
      <c r="T56" s="20"/>
      <c r="U56" s="29"/>
      <c r="V56" s="29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8" t="str">
        <f>IF(N57=0,"%",M57/N57)</f>
        <v>%</v>
      </c>
      <c r="P57" s="29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9"/>
      <c r="V57" s="66">
        <v>1148414.99</v>
      </c>
      <c r="W57" s="66">
        <v>1148414.99</v>
      </c>
      <c r="X57" s="68">
        <v>2009711.34</v>
      </c>
      <c r="Y57" s="8">
        <f>IF(X57=0,"%",W57/X57)</f>
        <v>0.5714328058675332</v>
      </c>
      <c r="Z57" s="29"/>
      <c r="AA57" s="59">
        <f>G57+L57+Q57+V57</f>
        <v>1148414.99</v>
      </c>
      <c r="AB57" s="59">
        <f>H57+M57+R57+W57</f>
        <v>1148414.99</v>
      </c>
      <c r="AC57" s="59">
        <f>I57+N57+S57+X57</f>
        <v>2096058.34</v>
      </c>
      <c r="AD57" s="8">
        <f>IF(AC57=0,"%",AB57/AC57)</f>
        <v>0.54789266504862644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62150.49</v>
      </c>
      <c r="H58" s="19">
        <v>178983.15000000002</v>
      </c>
      <c r="I58" s="19">
        <v>1097348</v>
      </c>
      <c r="J58" s="8">
        <f>IF(I58=0,"%",H58/I58)</f>
        <v>0.16310518632193252</v>
      </c>
      <c r="K58" s="29"/>
      <c r="L58" s="66">
        <v>0</v>
      </c>
      <c r="M58" s="66">
        <v>0</v>
      </c>
      <c r="N58" s="59">
        <v>0</v>
      </c>
      <c r="O58" s="8" t="str">
        <f>IF(N58=0,"%",M58/N58)</f>
        <v>%</v>
      </c>
      <c r="P58" s="29"/>
      <c r="Q58" s="67">
        <v>0</v>
      </c>
      <c r="R58" s="67">
        <v>0</v>
      </c>
      <c r="S58" s="68">
        <v>0</v>
      </c>
      <c r="T58" s="20" t="str">
        <f>IF(S58=0,"%",R58/S58)</f>
        <v>%</v>
      </c>
      <c r="U58" s="29"/>
      <c r="V58" s="66"/>
      <c r="W58" s="66"/>
      <c r="X58" s="59"/>
      <c r="Y58" s="8" t="str">
        <f>IF(X58=0,"%",W58/X58)</f>
        <v>%</v>
      </c>
      <c r="Z58" s="29"/>
      <c r="AA58" s="66">
        <f>G58+L58+Q58</f>
        <v>62150.49</v>
      </c>
      <c r="AB58" s="66">
        <f>H58+M58+R58</f>
        <v>178983.15000000002</v>
      </c>
      <c r="AC58" s="59">
        <f>I58+N58+S58</f>
        <v>1097348</v>
      </c>
      <c r="AD58" s="8">
        <f>IF(AC58=0,"%",AB58/AC58)</f>
        <v>0.16310518632193252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70">
        <f>SUM(G57:G58)</f>
        <v>62150.49</v>
      </c>
      <c r="H59" s="57">
        <f>SUM(H57-H58)</f>
        <v>-178983.15000000002</v>
      </c>
      <c r="I59" s="57">
        <f>SUM(I57:I58)</f>
        <v>1183695</v>
      </c>
      <c r="J59" s="31">
        <f>IF(I59=0,"",H59/I59)</f>
        <v>-0.15120715218024916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31" t="str">
        <f>IF(N59=0,"",M59/N59)</f>
        <v/>
      </c>
      <c r="P59" s="29"/>
      <c r="Q59" s="70">
        <f>SUM(Q57:Q58)</f>
        <v>0</v>
      </c>
      <c r="R59" s="70">
        <f>SUM(R57:R58)</f>
        <v>0</v>
      </c>
      <c r="S59" s="70">
        <f>SUM(S57:S58)</f>
        <v>0</v>
      </c>
      <c r="T59" s="150" t="str">
        <f>IF(S59=0,"",R59/S59)</f>
        <v/>
      </c>
      <c r="U59" s="29"/>
      <c r="V59" s="57">
        <f>SUM(V57:V58)</f>
        <v>1148414.99</v>
      </c>
      <c r="W59" s="57">
        <f>SUM(W57:W58)</f>
        <v>1148414.99</v>
      </c>
      <c r="X59" s="57">
        <f>SUM(X57:X58)</f>
        <v>2009711.34</v>
      </c>
      <c r="Y59" s="31">
        <f>IF(X59=0,"",W59/X59)</f>
        <v>0.5714328058675332</v>
      </c>
      <c r="Z59" s="29"/>
      <c r="AA59" s="57">
        <f>SUM(AA57:AA58)</f>
        <v>1210565.48</v>
      </c>
      <c r="AB59" s="57">
        <f>AB57-AB58</f>
        <v>969431.84</v>
      </c>
      <c r="AC59" s="57">
        <f>SUM(AC57:AC58)</f>
        <v>3193406.34</v>
      </c>
      <c r="AD59" s="31">
        <f>IF(AC59=0,"",AB59/AC59)</f>
        <v>0.30357296779212883</v>
      </c>
    </row>
    <row r="60" spans="1:30" x14ac:dyDescent="0.2">
      <c r="A60" s="3"/>
      <c r="B60" s="3"/>
      <c r="C60" s="5"/>
      <c r="D60" s="5"/>
      <c r="E60" s="74"/>
      <c r="F60" s="5"/>
      <c r="G60" s="28"/>
      <c r="H60" s="29"/>
      <c r="I60" s="29"/>
      <c r="J60" s="8"/>
      <c r="K60" s="29"/>
      <c r="L60" s="29"/>
      <c r="M60" s="29"/>
      <c r="N60" s="29"/>
      <c r="O60" s="8"/>
      <c r="P60" s="29"/>
      <c r="Q60" s="28"/>
      <c r="R60" s="28"/>
      <c r="S60" s="28"/>
      <c r="T60" s="20"/>
      <c r="U60" s="29"/>
      <c r="V60" s="29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68"/>
      <c r="H61" s="59">
        <f>H54+H59</f>
        <v>238935.16000000003</v>
      </c>
      <c r="I61" s="59"/>
      <c r="J61" s="8" t="str">
        <f>IF(I61=0,"",H61/I61)</f>
        <v/>
      </c>
      <c r="K61" s="29"/>
      <c r="L61" s="59"/>
      <c r="M61" s="59">
        <f>M33-M53+M59</f>
        <v>9215.2599999999948</v>
      </c>
      <c r="N61" s="59"/>
      <c r="O61" s="29"/>
      <c r="P61" s="29"/>
      <c r="Q61" s="68"/>
      <c r="R61" s="68">
        <f>R33-R53+R59</f>
        <v>29393.620000000003</v>
      </c>
      <c r="S61" s="68">
        <f>S33-S53+S59</f>
        <v>0</v>
      </c>
      <c r="T61" s="28"/>
      <c r="U61" s="29">
        <f>U33-U53+U59</f>
        <v>0</v>
      </c>
      <c r="V61" s="59"/>
      <c r="W61" s="59">
        <f>W33-W53+W59</f>
        <v>-431245.41999999993</v>
      </c>
      <c r="X61" s="59">
        <f>X33-X53+X59</f>
        <v>-2068255.6500000001</v>
      </c>
      <c r="Y61" s="29"/>
      <c r="Z61" s="29"/>
      <c r="AA61" s="59"/>
      <c r="AB61" s="59">
        <f>AB33-AB53+AB59</f>
        <v>-278701.38000000024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68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68"/>
      <c r="R62" s="68"/>
      <c r="S62" s="68"/>
      <c r="T62" s="20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68"/>
      <c r="H63" s="59"/>
      <c r="I63" s="59"/>
      <c r="J63" s="8" t="str">
        <f>IF(I63=0,"",H63/I63)</f>
        <v/>
      </c>
      <c r="K63" s="29"/>
      <c r="L63" s="59"/>
      <c r="M63" s="59"/>
      <c r="N63" s="59"/>
      <c r="O63" s="8" t="str">
        <f>IF(N63=0,"",M63/N63)</f>
        <v/>
      </c>
      <c r="P63" s="29"/>
      <c r="Q63" s="68"/>
      <c r="R63" s="68"/>
      <c r="S63" s="68"/>
      <c r="T63" s="20" t="str">
        <f>IF(S63=0,"",R63/S63)</f>
        <v/>
      </c>
      <c r="U63" s="29"/>
      <c r="V63" s="59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70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31" t="str">
        <f>IF(N64=0,"",M64/N64)</f>
        <v/>
      </c>
      <c r="P64" s="29"/>
      <c r="Q64" s="70">
        <f>SUM(Q62:Q63)</f>
        <v>0</v>
      </c>
      <c r="R64" s="70">
        <f>SUM(R62:R63)</f>
        <v>0</v>
      </c>
      <c r="S64" s="70">
        <f>SUM(S62:S63)</f>
        <v>0</v>
      </c>
      <c r="T64" s="150" t="str">
        <f>IF(S64=0,"",R64/S64)</f>
        <v/>
      </c>
      <c r="U64" s="29"/>
      <c r="V64" s="57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8"/>
      <c r="H65" s="29"/>
      <c r="I65" s="29"/>
      <c r="J65" s="8"/>
      <c r="K65" s="29"/>
      <c r="L65" s="29"/>
      <c r="M65" s="29"/>
      <c r="N65" s="29"/>
      <c r="O65" s="8"/>
      <c r="P65" s="29"/>
      <c r="Q65" s="28"/>
      <c r="R65" s="28"/>
      <c r="S65" s="28"/>
      <c r="T65" s="20"/>
      <c r="U65" s="29"/>
      <c r="V65" s="29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148">
        <f>G64+G61</f>
        <v>0</v>
      </c>
      <c r="H66" s="65">
        <f>H64+H61</f>
        <v>238935.16000000003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9215.2599999999948</v>
      </c>
      <c r="N66" s="65">
        <f>N64+N61</f>
        <v>0</v>
      </c>
      <c r="O66" s="38" t="str">
        <f>IF(N66=0,"%",M66/N66)</f>
        <v>%</v>
      </c>
      <c r="P66" s="39"/>
      <c r="Q66" s="148">
        <f>Q64+Q61</f>
        <v>0</v>
      </c>
      <c r="R66" s="148">
        <f>R64+R61</f>
        <v>29393.620000000003</v>
      </c>
      <c r="S66" s="148">
        <f>S64+S61</f>
        <v>0</v>
      </c>
      <c r="T66" s="151" t="str">
        <f>IF(S66=0,"%",R66/S66)</f>
        <v>%</v>
      </c>
      <c r="U66" s="39"/>
      <c r="V66" s="65">
        <f>V64+V61</f>
        <v>0</v>
      </c>
      <c r="W66" s="65">
        <f>W64+W61</f>
        <v>-431245.41999999993</v>
      </c>
      <c r="X66" s="65">
        <f>X64+X61</f>
        <v>-2068255.6500000001</v>
      </c>
      <c r="Y66" s="38">
        <f>IF(X66=0,"%",W66/X66)</f>
        <v>0.20850682554644534</v>
      </c>
      <c r="Z66" s="39"/>
      <c r="AA66" s="65">
        <f>AA64+AA61</f>
        <v>0</v>
      </c>
      <c r="AB66" s="65">
        <f>AB64+AB61</f>
        <v>-278701.38000000024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99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 codeName="Sheet7">
    <pageSetUpPr fitToPage="1"/>
  </sheetPr>
  <dimension ref="A1:Z67"/>
  <sheetViews>
    <sheetView topLeftCell="C1" zoomScale="70" zoomScaleNormal="70" zoomScaleSheetLayoutView="50" zoomScalePageLayoutView="40" workbookViewId="0">
      <selection activeCell="D12" sqref="D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18.5703125" style="149" bestFit="1" customWidth="1"/>
    <col min="8" max="8" width="24.85546875" style="4" bestFit="1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149" customWidth="1"/>
    <col min="18" max="18" width="17.5703125" style="149" customWidth="1"/>
    <col min="19" max="19" width="16.7109375" style="149" customWidth="1"/>
    <col min="20" max="20" width="13.42578125" style="149" customWidth="1"/>
    <col min="21" max="21" width="2.42578125" style="4" customWidth="1"/>
    <col min="22" max="22" width="17.7109375" style="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5" t="s">
        <v>59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6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6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6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6" ht="23.25" x14ac:dyDescent="0.35">
      <c r="A5" s="3"/>
      <c r="B5" s="3"/>
      <c r="C5" s="52"/>
      <c r="D5" s="52"/>
      <c r="E5" s="52"/>
      <c r="F5" s="52"/>
      <c r="G5" s="145"/>
      <c r="H5" s="52"/>
      <c r="I5" s="52"/>
      <c r="J5" s="52"/>
      <c r="K5" s="52"/>
      <c r="L5" s="52"/>
      <c r="M5" s="52"/>
      <c r="N5" s="52"/>
      <c r="O5" s="52"/>
      <c r="P5" s="52"/>
      <c r="Q5" s="145"/>
      <c r="R5" s="145"/>
      <c r="S5" s="145"/>
      <c r="T5" s="145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145"/>
      <c r="H6" s="52"/>
      <c r="I6" s="52"/>
      <c r="J6" s="52"/>
      <c r="K6" s="52"/>
      <c r="L6" s="52"/>
      <c r="M6" s="52"/>
      <c r="N6" s="52"/>
      <c r="O6" s="52"/>
      <c r="P6" s="52"/>
      <c r="Q6" s="145"/>
      <c r="R6" s="145"/>
      <c r="S6" s="145"/>
      <c r="T6" s="145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17"/>
      <c r="R7" s="17"/>
      <c r="S7" s="17"/>
      <c r="T7" s="17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17"/>
      <c r="H8" s="5"/>
      <c r="I8" s="5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20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17"/>
      <c r="R10" s="17"/>
      <c r="S10" s="17"/>
      <c r="T10" s="17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6" t="s">
        <v>5</v>
      </c>
      <c r="H11" s="127"/>
      <c r="I11" s="127"/>
      <c r="J11" s="128"/>
      <c r="K11" s="9"/>
      <c r="L11" s="126" t="s">
        <v>7</v>
      </c>
      <c r="M11" s="127"/>
      <c r="N11" s="127"/>
      <c r="O11" s="128"/>
      <c r="P11" s="9"/>
      <c r="Q11" s="130" t="s">
        <v>8</v>
      </c>
      <c r="R11" s="131"/>
      <c r="S11" s="131"/>
      <c r="T11" s="132"/>
      <c r="U11" s="9"/>
      <c r="V11" s="126" t="s">
        <v>9</v>
      </c>
      <c r="W11" s="127"/>
      <c r="X11" s="127"/>
      <c r="Y11" s="129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17"/>
      <c r="H13" s="5"/>
      <c r="I13" s="5"/>
      <c r="J13" s="5"/>
      <c r="K13" s="5"/>
      <c r="L13" s="5"/>
      <c r="M13" s="5"/>
      <c r="N13" s="5"/>
      <c r="O13" s="5"/>
      <c r="P13" s="5"/>
      <c r="Q13" s="17"/>
      <c r="R13" s="17"/>
      <c r="S13" s="17"/>
      <c r="T13" s="17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17"/>
      <c r="H14" s="5"/>
      <c r="I14" s="5"/>
      <c r="J14" s="5"/>
      <c r="K14" s="5"/>
      <c r="L14" s="5"/>
      <c r="M14" s="5"/>
      <c r="N14" s="5"/>
      <c r="O14" s="5"/>
      <c r="P14" s="5"/>
      <c r="Q14" s="17"/>
      <c r="R14" s="17"/>
      <c r="S14" s="17"/>
      <c r="T14" s="17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17"/>
      <c r="R15" s="17"/>
      <c r="S15" s="17"/>
      <c r="T15" s="17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7820.98</v>
      </c>
      <c r="M16" s="19">
        <v>7820.98</v>
      </c>
      <c r="N16" s="19">
        <v>80000</v>
      </c>
      <c r="O16" s="8">
        <f>IF(N16=0,"%",M16/N16)</f>
        <v>9.7762249999999995E-2</v>
      </c>
      <c r="P16" s="22"/>
      <c r="Q16" s="19">
        <v>0</v>
      </c>
      <c r="R16" s="19">
        <v>0</v>
      </c>
      <c r="S16" s="19">
        <v>0</v>
      </c>
      <c r="T16" s="20" t="str">
        <f>IF(S16=0,"%",R16/S16)</f>
        <v>%</v>
      </c>
      <c r="U16" s="22"/>
      <c r="V16" s="23">
        <f t="shared" ref="V16:X17" si="1">G16+L16+Q16</f>
        <v>7820.98</v>
      </c>
      <c r="W16" s="23">
        <f t="shared" si="1"/>
        <v>7820.98</v>
      </c>
      <c r="X16" s="23">
        <f t="shared" si="1"/>
        <v>80000</v>
      </c>
      <c r="Y16" s="8">
        <f>IF(X16=0,"%",W16/X16)</f>
        <v>9.7762249999999995E-2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f>27354.02+78216.21</f>
        <v>105570.23000000001</v>
      </c>
      <c r="N17" s="19">
        <v>674220.21</v>
      </c>
      <c r="O17" s="8">
        <f>IF(N17=0,"%",M17/N17)</f>
        <v>0.1565812303371921</v>
      </c>
      <c r="P17" s="26"/>
      <c r="Q17" s="19">
        <v>0</v>
      </c>
      <c r="R17" s="19">
        <v>0</v>
      </c>
      <c r="S17" s="19">
        <v>0</v>
      </c>
      <c r="T17" s="20" t="str">
        <f>IF(S17=0,"%",R17/S17)</f>
        <v>%</v>
      </c>
      <c r="U17" s="26"/>
      <c r="V17" s="23">
        <f t="shared" si="1"/>
        <v>0</v>
      </c>
      <c r="W17" s="23">
        <f t="shared" si="1"/>
        <v>105570.23000000001</v>
      </c>
      <c r="X17" s="23">
        <f t="shared" si="1"/>
        <v>674220.21</v>
      </c>
      <c r="Y17" s="8">
        <f>IF(X17=0,"%",W17/X17)</f>
        <v>0.1565812303371921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19"/>
      <c r="R18" s="19"/>
      <c r="S18" s="19"/>
      <c r="T18" s="20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865502.45</v>
      </c>
      <c r="H19" s="19">
        <v>2652573.2599999998</v>
      </c>
      <c r="I19" s="19">
        <v>10170242</v>
      </c>
      <c r="J19" s="20">
        <f t="shared" si="2"/>
        <v>0.26081712313236988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19">
        <v>0</v>
      </c>
      <c r="R19" s="19">
        <v>0</v>
      </c>
      <c r="S19" s="19">
        <v>0</v>
      </c>
      <c r="T19" s="20" t="str">
        <f t="shared" ref="T19:T24" si="4">IF(S19=0,"%",R19/S19)</f>
        <v>%</v>
      </c>
      <c r="U19" s="26"/>
      <c r="V19" s="23">
        <f t="shared" ref="V19:X24" si="5">G19+L19+Q19</f>
        <v>865502.45</v>
      </c>
      <c r="W19" s="23">
        <f t="shared" si="5"/>
        <v>2652573.2599999998</v>
      </c>
      <c r="X19" s="23">
        <f t="shared" si="5"/>
        <v>10170242</v>
      </c>
      <c r="Y19" s="8">
        <f t="shared" ref="Y19:Y24" si="6">IF(X19=0,"%",W19/X19)</f>
        <v>0.26081712313236988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19">
        <v>0</v>
      </c>
      <c r="R20" s="19">
        <v>0</v>
      </c>
      <c r="S20" s="19">
        <v>0</v>
      </c>
      <c r="T20" s="20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33531.269999999997</v>
      </c>
      <c r="H21" s="19">
        <v>100593.81</v>
      </c>
      <c r="I21" s="19">
        <v>292729</v>
      </c>
      <c r="J21" s="20">
        <f t="shared" si="2"/>
        <v>0.34364142261272368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20" t="str">
        <f>IF(S21=0,"%",R21/S21)</f>
        <v>%</v>
      </c>
      <c r="U21" s="26"/>
      <c r="V21" s="23">
        <f t="shared" si="5"/>
        <v>33531.269999999997</v>
      </c>
      <c r="W21" s="23">
        <f t="shared" si="5"/>
        <v>100593.81</v>
      </c>
      <c r="X21" s="23">
        <f t="shared" si="5"/>
        <v>292729</v>
      </c>
      <c r="Y21" s="8">
        <f t="shared" si="6"/>
        <v>0.34364142261272368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132601.64000000001</v>
      </c>
      <c r="H22" s="19">
        <v>397804.92</v>
      </c>
      <c r="I22" s="19">
        <v>1458618</v>
      </c>
      <c r="J22" s="20">
        <f t="shared" si="2"/>
        <v>0.2727272802063323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19">
        <v>0</v>
      </c>
      <c r="R22" s="19">
        <v>0</v>
      </c>
      <c r="S22" s="19">
        <v>0</v>
      </c>
      <c r="T22" s="20" t="str">
        <f t="shared" si="4"/>
        <v>%</v>
      </c>
      <c r="U22" s="26"/>
      <c r="V22" s="23">
        <f t="shared" si="5"/>
        <v>132601.64000000001</v>
      </c>
      <c r="W22" s="23">
        <f t="shared" si="5"/>
        <v>397804.92</v>
      </c>
      <c r="X22" s="23">
        <f t="shared" si="5"/>
        <v>1458618</v>
      </c>
      <c r="Y22" s="8">
        <f t="shared" si="6"/>
        <v>0.2727272802063323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19">
        <v>0</v>
      </c>
      <c r="R23" s="19">
        <v>0</v>
      </c>
      <c r="S23" s="19">
        <v>0</v>
      </c>
      <c r="T23" s="20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1200</v>
      </c>
      <c r="H24" s="19">
        <v>20700</v>
      </c>
      <c r="I24" s="19">
        <v>200000</v>
      </c>
      <c r="J24" s="20">
        <f t="shared" si="2"/>
        <v>0.10349999999999999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19">
        <v>0</v>
      </c>
      <c r="R24" s="19">
        <v>0</v>
      </c>
      <c r="S24" s="19">
        <v>0</v>
      </c>
      <c r="T24" s="20" t="str">
        <f t="shared" si="4"/>
        <v>%</v>
      </c>
      <c r="U24" s="26"/>
      <c r="V24" s="23">
        <f t="shared" si="5"/>
        <v>1200</v>
      </c>
      <c r="W24" s="23">
        <f t="shared" si="5"/>
        <v>20700</v>
      </c>
      <c r="X24" s="23">
        <f t="shared" si="5"/>
        <v>200000</v>
      </c>
      <c r="Y24" s="8">
        <f t="shared" si="6"/>
        <v>0.10349999999999999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19"/>
      <c r="R25" s="19"/>
      <c r="S25" s="19"/>
      <c r="T25" s="20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19">
        <v>0</v>
      </c>
      <c r="R26" s="19">
        <v>0</v>
      </c>
      <c r="S26" s="19">
        <v>0</v>
      </c>
      <c r="T26" s="20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60176.03</v>
      </c>
      <c r="H27" s="19">
        <v>178673.79</v>
      </c>
      <c r="I27" s="19">
        <v>641539</v>
      </c>
      <c r="J27" s="20">
        <f t="shared" si="2"/>
        <v>0.27850807199562305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19">
        <v>0</v>
      </c>
      <c r="R27" s="19">
        <v>0</v>
      </c>
      <c r="S27" s="19">
        <v>0</v>
      </c>
      <c r="T27" s="20" t="str">
        <f t="shared" si="8"/>
        <v>%</v>
      </c>
      <c r="U27" s="29"/>
      <c r="V27" s="23">
        <f t="shared" si="9"/>
        <v>60176.03</v>
      </c>
      <c r="W27" s="23">
        <f t="shared" si="9"/>
        <v>178673.79</v>
      </c>
      <c r="X27" s="23">
        <f t="shared" si="9"/>
        <v>641539</v>
      </c>
      <c r="Y27" s="8">
        <f t="shared" si="10"/>
        <v>0.27850807199562305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19">
        <v>0</v>
      </c>
      <c r="R28" s="19">
        <v>0</v>
      </c>
      <c r="S28" s="19">
        <v>0</v>
      </c>
      <c r="T28" s="20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19">
        <v>0</v>
      </c>
      <c r="R29" s="19">
        <v>0</v>
      </c>
      <c r="S29" s="19">
        <v>0</v>
      </c>
      <c r="T29" s="20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562752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19">
        <v>0</v>
      </c>
      <c r="T30" s="20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562752</v>
      </c>
      <c r="Y30" s="8">
        <f t="shared" si="10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78411.56</v>
      </c>
      <c r="R31" s="19">
        <v>98516.98</v>
      </c>
      <c r="S31" s="19">
        <v>0</v>
      </c>
      <c r="T31" s="20" t="str">
        <f t="shared" si="8"/>
        <v>%</v>
      </c>
      <c r="U31" s="29"/>
      <c r="V31" s="23">
        <f t="shared" si="9"/>
        <v>78411.56</v>
      </c>
      <c r="W31" s="23">
        <f t="shared" si="9"/>
        <v>98516.98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70">
        <f>SUM(G16:G31)</f>
        <v>1093011.3899999999</v>
      </c>
      <c r="H32" s="57">
        <f>SUM(H16:H31)</f>
        <v>3350345.78</v>
      </c>
      <c r="I32" s="57">
        <f>SUM(I16:I31)</f>
        <v>13325880</v>
      </c>
      <c r="J32" s="31">
        <f>IF(I32=0,"",H32/I32)</f>
        <v>0.25141647530969813</v>
      </c>
      <c r="K32" s="29"/>
      <c r="L32" s="57">
        <f>SUM(L16:L31)</f>
        <v>7820.98</v>
      </c>
      <c r="M32" s="57">
        <f>SUM(M16:M31)</f>
        <v>113391.21</v>
      </c>
      <c r="N32" s="57">
        <f>SUM(N16:N31)</f>
        <v>754220.21</v>
      </c>
      <c r="O32" s="31">
        <f>IF(N32=0,"",M32/N32)</f>
        <v>0.15034231182959154</v>
      </c>
      <c r="P32" s="29"/>
      <c r="Q32" s="70">
        <f>SUM(Q16:Q31)</f>
        <v>78411.56</v>
      </c>
      <c r="R32" s="70">
        <f>SUM(R16:R31)</f>
        <v>98516.98</v>
      </c>
      <c r="S32" s="70">
        <f>SUM(S16:S31)</f>
        <v>0</v>
      </c>
      <c r="T32" s="150" t="str">
        <f>IF(S32=0,"",R32/S32)</f>
        <v/>
      </c>
      <c r="U32" s="29"/>
      <c r="V32" s="57">
        <f>SUM(V16:V31)</f>
        <v>1179243.93</v>
      </c>
      <c r="W32" s="57">
        <f>SUM(W16:W31)</f>
        <v>3562253.9699999997</v>
      </c>
      <c r="X32" s="57">
        <f>SUM(X16:X31)</f>
        <v>14080100.210000001</v>
      </c>
      <c r="Y32" s="31">
        <f>IF(X32=0,"",W32/X32)</f>
        <v>0.25299919154481637</v>
      </c>
    </row>
    <row r="33" spans="1:25" x14ac:dyDescent="0.2">
      <c r="A33" s="3"/>
      <c r="B33" s="3"/>
      <c r="C33" s="5"/>
      <c r="D33" s="5"/>
      <c r="E33" s="5"/>
      <c r="F33" s="5"/>
      <c r="G33" s="28"/>
      <c r="H33" s="29"/>
      <c r="I33" s="29"/>
      <c r="J33" s="8"/>
      <c r="K33" s="29"/>
      <c r="L33" s="29"/>
      <c r="M33" s="29"/>
      <c r="N33" s="29"/>
      <c r="O33" s="8"/>
      <c r="P33" s="29"/>
      <c r="Q33" s="28"/>
      <c r="R33" s="28"/>
      <c r="S33" s="28"/>
      <c r="T33" s="20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8"/>
      <c r="H34" s="29"/>
      <c r="I34" s="29"/>
      <c r="J34" s="8"/>
      <c r="K34" s="29"/>
      <c r="L34" s="29"/>
      <c r="M34" s="29"/>
      <c r="N34" s="29"/>
      <c r="O34" s="8"/>
      <c r="P34" s="29"/>
      <c r="Q34" s="28"/>
      <c r="R34" s="28"/>
      <c r="S34" s="28"/>
      <c r="T34" s="20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8"/>
      <c r="H35" s="29"/>
      <c r="I35" s="29"/>
      <c r="J35" s="8"/>
      <c r="K35" s="29"/>
      <c r="L35" s="29"/>
      <c r="M35" s="29"/>
      <c r="N35" s="29"/>
      <c r="O35" s="8"/>
      <c r="P35" s="29"/>
      <c r="Q35" s="28"/>
      <c r="R35" s="28"/>
      <c r="S35" s="28"/>
      <c r="T35" s="20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501775.13000000012</v>
      </c>
      <c r="H36" s="19">
        <v>1222448.73</v>
      </c>
      <c r="I36" s="19">
        <v>7647138.370000001</v>
      </c>
      <c r="J36" s="8">
        <f t="shared" ref="J36:J51" si="11">IF(I36=0,"%",H36/I36)</f>
        <v>0.15985701720733997</v>
      </c>
      <c r="K36" s="29"/>
      <c r="L36" s="19">
        <v>132892.96000000002</v>
      </c>
      <c r="M36" s="19">
        <v>195818.45000000004</v>
      </c>
      <c r="N36" s="19">
        <v>685493.45000000007</v>
      </c>
      <c r="O36" s="8">
        <f t="shared" ref="O36:O51" si="12">IF(N36=0,"%",M36/N36)</f>
        <v>0.28566057049852195</v>
      </c>
      <c r="P36" s="29"/>
      <c r="Q36" s="19">
        <v>0</v>
      </c>
      <c r="R36" s="19">
        <v>0</v>
      </c>
      <c r="S36" s="19">
        <v>0</v>
      </c>
      <c r="T36" s="20" t="str">
        <f t="shared" ref="T36:T51" si="13">IF(S36=0,"%",R36/S36)</f>
        <v>%</v>
      </c>
      <c r="U36" s="29"/>
      <c r="V36" s="23">
        <f t="shared" ref="V36:V51" si="14">G36+L36+Q36</f>
        <v>634668.09000000008</v>
      </c>
      <c r="W36" s="23">
        <f t="shared" ref="W36:W51" si="15">H36+M36+R36</f>
        <v>1418267.18</v>
      </c>
      <c r="X36" s="23">
        <f t="shared" ref="X36:X51" si="16">I36+N36+S36</f>
        <v>8332631.8200000012</v>
      </c>
      <c r="Y36" s="8">
        <f t="shared" ref="Y36:Y51" si="17">IF(X36=0,"%",W36/X36)</f>
        <v>0.17020638984622743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49897.45</v>
      </c>
      <c r="H37" s="19">
        <v>108953.65</v>
      </c>
      <c r="I37" s="19">
        <v>690748.1399999999</v>
      </c>
      <c r="J37" s="8">
        <f t="shared" si="11"/>
        <v>0.15773281705832753</v>
      </c>
      <c r="K37" s="29"/>
      <c r="L37" s="23">
        <v>0</v>
      </c>
      <c r="M37" s="23">
        <v>24.84</v>
      </c>
      <c r="N37" s="23">
        <v>68726.759999999995</v>
      </c>
      <c r="O37" s="8">
        <f t="shared" si="12"/>
        <v>3.6143126782056949E-4</v>
      </c>
      <c r="P37" s="29"/>
      <c r="Q37" s="19">
        <v>0</v>
      </c>
      <c r="R37" s="19">
        <v>0</v>
      </c>
      <c r="S37" s="19">
        <v>0</v>
      </c>
      <c r="T37" s="20" t="str">
        <f t="shared" si="13"/>
        <v>%</v>
      </c>
      <c r="U37" s="29"/>
      <c r="V37" s="23">
        <f t="shared" si="14"/>
        <v>49897.45</v>
      </c>
      <c r="W37" s="23">
        <f t="shared" si="15"/>
        <v>108978.48999999999</v>
      </c>
      <c r="X37" s="23">
        <f t="shared" si="16"/>
        <v>759474.89999999991</v>
      </c>
      <c r="Y37" s="8">
        <f t="shared" si="17"/>
        <v>0.14349189156876679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12000</v>
      </c>
      <c r="H38" s="19">
        <v>12000</v>
      </c>
      <c r="I38" s="19">
        <v>18500</v>
      </c>
      <c r="J38" s="8">
        <f t="shared" si="11"/>
        <v>0.64864864864864868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19">
        <v>0</v>
      </c>
      <c r="R38" s="19">
        <v>0</v>
      </c>
      <c r="S38" s="19">
        <v>0</v>
      </c>
      <c r="T38" s="20" t="str">
        <f t="shared" si="13"/>
        <v>%</v>
      </c>
      <c r="U38" s="29"/>
      <c r="V38" s="23">
        <f t="shared" si="14"/>
        <v>12000</v>
      </c>
      <c r="W38" s="23">
        <f t="shared" si="15"/>
        <v>12000</v>
      </c>
      <c r="X38" s="23">
        <f t="shared" si="16"/>
        <v>18500</v>
      </c>
      <c r="Y38" s="8">
        <f t="shared" si="17"/>
        <v>0.64864864864864868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19">
        <v>0</v>
      </c>
      <c r="R39" s="19">
        <v>0</v>
      </c>
      <c r="S39" s="19">
        <v>0</v>
      </c>
      <c r="T39" s="20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114144.26</v>
      </c>
      <c r="H40" s="19">
        <v>303750.25000000012</v>
      </c>
      <c r="I40" s="19">
        <v>1322801.8099999998</v>
      </c>
      <c r="J40" s="8">
        <f t="shared" si="11"/>
        <v>0.22962642453596291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19">
        <v>0</v>
      </c>
      <c r="R40" s="19">
        <v>0</v>
      </c>
      <c r="S40" s="19">
        <v>0</v>
      </c>
      <c r="T40" s="20" t="str">
        <f t="shared" si="13"/>
        <v>%</v>
      </c>
      <c r="U40" s="29"/>
      <c r="V40" s="23">
        <f t="shared" si="14"/>
        <v>114144.26</v>
      </c>
      <c r="W40" s="23">
        <f t="shared" si="15"/>
        <v>303750.25000000012</v>
      </c>
      <c r="X40" s="23">
        <f t="shared" si="16"/>
        <v>1322801.8099999998</v>
      </c>
      <c r="Y40" s="8">
        <f t="shared" si="17"/>
        <v>0.22962642453596291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19">
        <v>0</v>
      </c>
      <c r="R41" s="19">
        <v>0</v>
      </c>
      <c r="S41" s="19">
        <v>0</v>
      </c>
      <c r="T41" s="20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5611.19</v>
      </c>
      <c r="H42" s="19">
        <v>17088.689999999999</v>
      </c>
      <c r="I42" s="19">
        <v>62400</v>
      </c>
      <c r="J42" s="8">
        <f t="shared" si="11"/>
        <v>0.27385721153846154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19">
        <v>0</v>
      </c>
      <c r="R42" s="19">
        <v>0</v>
      </c>
      <c r="S42" s="19">
        <v>0</v>
      </c>
      <c r="T42" s="20" t="str">
        <f t="shared" si="13"/>
        <v>%</v>
      </c>
      <c r="U42" s="29"/>
      <c r="V42" s="23">
        <f t="shared" si="14"/>
        <v>5611.19</v>
      </c>
      <c r="W42" s="23">
        <f t="shared" si="15"/>
        <v>17088.689999999999</v>
      </c>
      <c r="X42" s="23">
        <f t="shared" si="16"/>
        <v>62400</v>
      </c>
      <c r="Y42" s="8">
        <f t="shared" si="17"/>
        <v>0.27385721153846154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19">
        <v>0</v>
      </c>
      <c r="R43" s="19">
        <v>0</v>
      </c>
      <c r="S43" s="19">
        <v>0</v>
      </c>
      <c r="T43" s="20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19">
        <v>0</v>
      </c>
      <c r="R44" s="19">
        <v>0</v>
      </c>
      <c r="S44" s="19">
        <v>0</v>
      </c>
      <c r="T44" s="20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6526</v>
      </c>
      <c r="I45" s="19">
        <v>90600</v>
      </c>
      <c r="J45" s="8">
        <f t="shared" si="11"/>
        <v>7.2030905077262689E-2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19">
        <v>0</v>
      </c>
      <c r="R45" s="19">
        <v>0</v>
      </c>
      <c r="S45" s="19">
        <v>0</v>
      </c>
      <c r="T45" s="20" t="str">
        <f t="shared" si="13"/>
        <v>%</v>
      </c>
      <c r="U45" s="29"/>
      <c r="V45" s="23">
        <f t="shared" si="14"/>
        <v>0</v>
      </c>
      <c r="W45" s="23">
        <f t="shared" si="15"/>
        <v>6526</v>
      </c>
      <c r="X45" s="23">
        <f t="shared" si="16"/>
        <v>90600</v>
      </c>
      <c r="Y45" s="8">
        <f t="shared" si="17"/>
        <v>7.2030905077262689E-2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138579.43</v>
      </c>
      <c r="H46" s="19">
        <v>393392.07</v>
      </c>
      <c r="I46" s="19">
        <v>1149317.7</v>
      </c>
      <c r="J46" s="8">
        <f t="shared" si="11"/>
        <v>0.34228313894408835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19">
        <v>0</v>
      </c>
      <c r="R46" s="19">
        <v>0</v>
      </c>
      <c r="S46" s="19">
        <v>0</v>
      </c>
      <c r="T46" s="20" t="str">
        <f t="shared" si="13"/>
        <v>%</v>
      </c>
      <c r="U46" s="29"/>
      <c r="V46" s="23">
        <f t="shared" si="14"/>
        <v>138579.43</v>
      </c>
      <c r="W46" s="23">
        <f t="shared" si="15"/>
        <v>393392.07</v>
      </c>
      <c r="X46" s="23">
        <f t="shared" si="16"/>
        <v>1149317.7</v>
      </c>
      <c r="Y46" s="8">
        <f t="shared" si="17"/>
        <v>0.34228313894408835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19">
        <v>0</v>
      </c>
      <c r="R47" s="19">
        <v>0</v>
      </c>
      <c r="S47" s="19">
        <v>0</v>
      </c>
      <c r="T47" s="20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30000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19">
        <v>0</v>
      </c>
      <c r="R48" s="19">
        <v>0</v>
      </c>
      <c r="S48" s="19">
        <v>0</v>
      </c>
      <c r="T48" s="20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52154.720000000001</v>
      </c>
      <c r="H49" s="19">
        <v>265413.66000000003</v>
      </c>
      <c r="I49" s="19">
        <v>846712.96</v>
      </c>
      <c r="J49" s="8">
        <f t="shared" si="11"/>
        <v>0.31346356148841759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19">
        <v>0</v>
      </c>
      <c r="R49" s="19">
        <v>0</v>
      </c>
      <c r="S49" s="19">
        <v>0</v>
      </c>
      <c r="T49" s="20" t="str">
        <f t="shared" si="13"/>
        <v>%</v>
      </c>
      <c r="U49" s="29"/>
      <c r="V49" s="23">
        <f t="shared" si="14"/>
        <v>52154.720000000001</v>
      </c>
      <c r="W49" s="23">
        <f t="shared" si="15"/>
        <v>265413.66000000003</v>
      </c>
      <c r="X49" s="23">
        <f t="shared" si="16"/>
        <v>846712.96</v>
      </c>
      <c r="Y49" s="8">
        <f t="shared" si="17"/>
        <v>0.31346356148841759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19">
        <v>0</v>
      </c>
      <c r="R50" s="19">
        <v>0</v>
      </c>
      <c r="S50" s="19">
        <v>0</v>
      </c>
      <c r="T50" s="20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19">
        <v>31674.17</v>
      </c>
      <c r="R51" s="19">
        <v>83581.09</v>
      </c>
      <c r="S51" s="19">
        <v>0</v>
      </c>
      <c r="T51" s="20" t="str">
        <f t="shared" si="13"/>
        <v>%</v>
      </c>
      <c r="U51" s="29"/>
      <c r="V51" s="23">
        <f t="shared" si="14"/>
        <v>31674.17</v>
      </c>
      <c r="W51" s="23">
        <f t="shared" si="15"/>
        <v>83581.09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0">
        <f>SUM(G36:G51)</f>
        <v>874162.17999999993</v>
      </c>
      <c r="H52" s="57">
        <f>SUM(H36:H51)</f>
        <v>2329573.0499999998</v>
      </c>
      <c r="I52" s="57">
        <f>SUM(I36:I51)</f>
        <v>11858218.98</v>
      </c>
      <c r="J52" s="31">
        <f>IF(I52=0,"",H52/I52)</f>
        <v>0.19645218678530421</v>
      </c>
      <c r="K52" s="29"/>
      <c r="L52" s="57">
        <f>SUM(L36:L50)</f>
        <v>132892.96000000002</v>
      </c>
      <c r="M52" s="57">
        <f>SUM(M36:M50)</f>
        <v>195843.29000000004</v>
      </c>
      <c r="N52" s="57">
        <f>SUM(N36:N50)</f>
        <v>754220.21000000008</v>
      </c>
      <c r="O52" s="31">
        <f>IF(N52=0,"",M52/N52)</f>
        <v>0.25966327526545596</v>
      </c>
      <c r="P52" s="29"/>
      <c r="Q52" s="70">
        <f>SUM(Q36:Q51)</f>
        <v>31674.17</v>
      </c>
      <c r="R52" s="70">
        <f>SUM(R36:R51)</f>
        <v>83581.09</v>
      </c>
      <c r="S52" s="70">
        <f>SUM(S36:S51)</f>
        <v>0</v>
      </c>
      <c r="T52" s="150" t="str">
        <f>IF(S52=0,"",R52/S52)</f>
        <v/>
      </c>
      <c r="U52" s="29"/>
      <c r="V52" s="57">
        <f>SUM(V36:V51)</f>
        <v>1038729.3099999999</v>
      </c>
      <c r="W52" s="57">
        <f>SUM(W36:W51)</f>
        <v>2608997.4299999997</v>
      </c>
      <c r="X52" s="57">
        <f>SUM(X36:X51)</f>
        <v>12612439.190000001</v>
      </c>
      <c r="Y52" s="31">
        <f>IF(X52=0,"",W52/X52)</f>
        <v>0.20685906910604493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70">
        <f>G32-G52</f>
        <v>218849.20999999996</v>
      </c>
      <c r="H53" s="57">
        <f>H32-H52</f>
        <v>1020772.73</v>
      </c>
      <c r="I53" s="57">
        <f>I32-I52</f>
        <v>1467661.0199999996</v>
      </c>
      <c r="J53" s="31">
        <f>IF(I53=0,"",H53/I53)</f>
        <v>0.6955098732539754</v>
      </c>
      <c r="K53" s="29"/>
      <c r="L53" s="57">
        <f>L32-L52</f>
        <v>-125071.98000000003</v>
      </c>
      <c r="M53" s="57">
        <f>M32-M52</f>
        <v>-82452.080000000031</v>
      </c>
      <c r="N53" s="57">
        <f>N32-N52</f>
        <v>0</v>
      </c>
      <c r="O53" s="31"/>
      <c r="P53" s="29"/>
      <c r="Q53" s="70">
        <f>Q32-Q52</f>
        <v>46737.39</v>
      </c>
      <c r="R53" s="70">
        <f>R32-R52</f>
        <v>14935.89</v>
      </c>
      <c r="S53" s="70">
        <f>S32-S52</f>
        <v>0</v>
      </c>
      <c r="T53" s="150" t="str">
        <f>IF(S53=0,"",R53/S53)</f>
        <v/>
      </c>
      <c r="U53" s="29"/>
      <c r="V53" s="57">
        <f>V32-V52</f>
        <v>140514.62</v>
      </c>
      <c r="W53" s="57">
        <f>W32-W52</f>
        <v>953256.54</v>
      </c>
      <c r="X53" s="57">
        <f>X32-X52</f>
        <v>1467661.0199999996</v>
      </c>
      <c r="Y53" s="31">
        <f>IF(X53=0,"",W53/X53)</f>
        <v>0.64950729562879606</v>
      </c>
    </row>
    <row r="54" spans="1:25" x14ac:dyDescent="0.2">
      <c r="A54" s="3"/>
      <c r="B54" s="3"/>
      <c r="C54" s="5"/>
      <c r="D54" s="5"/>
      <c r="E54" s="5"/>
      <c r="F54" s="5"/>
      <c r="G54" s="28"/>
      <c r="H54" s="29"/>
      <c r="I54" s="29"/>
      <c r="J54" s="8"/>
      <c r="K54" s="29"/>
      <c r="L54" s="29"/>
      <c r="M54" s="29"/>
      <c r="N54" s="29"/>
      <c r="O54" s="8"/>
      <c r="P54" s="29"/>
      <c r="Q54" s="28"/>
      <c r="R54" s="28"/>
      <c r="S54" s="28"/>
      <c r="T54" s="20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8"/>
      <c r="H55" s="29"/>
      <c r="I55" s="29"/>
      <c r="J55" s="8"/>
      <c r="K55" s="29"/>
      <c r="L55" s="29"/>
      <c r="M55" s="29"/>
      <c r="N55" s="29"/>
      <c r="O55" s="8"/>
      <c r="P55" s="29"/>
      <c r="Q55" s="28"/>
      <c r="R55" s="28"/>
      <c r="S55" s="28"/>
      <c r="T55" s="20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68">
        <v>0</v>
      </c>
      <c r="T56" s="20" t="str">
        <f>IF(S56=0,"%",R56/S56)</f>
        <v>%</v>
      </c>
      <c r="U56" s="29"/>
      <c r="V56" s="67">
        <f t="shared" ref="V56:X57" si="18">G56+L56+Q56</f>
        <v>0</v>
      </c>
      <c r="W56" s="67">
        <f t="shared" si="18"/>
        <v>0</v>
      </c>
      <c r="X56" s="59">
        <f t="shared" si="18"/>
        <v>224842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129889.60999999999</v>
      </c>
      <c r="H57" s="19">
        <v>379279.64</v>
      </c>
      <c r="I57" s="19">
        <v>1847905</v>
      </c>
      <c r="J57" s="8">
        <f>IF(I57=0,"%",H57/I57)</f>
        <v>0.20524845162494826</v>
      </c>
      <c r="K57" s="29"/>
      <c r="L57" s="67">
        <v>0</v>
      </c>
      <c r="M57" s="67">
        <v>0</v>
      </c>
      <c r="N57" s="59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68">
        <v>0</v>
      </c>
      <c r="T57" s="20" t="str">
        <f>IF(S57=0,"%",R57/S57)</f>
        <v>%</v>
      </c>
      <c r="U57" s="29"/>
      <c r="V57" s="67">
        <f t="shared" si="18"/>
        <v>129889.60999999999</v>
      </c>
      <c r="W57" s="67">
        <f t="shared" si="18"/>
        <v>379279.64</v>
      </c>
      <c r="X57" s="59">
        <f t="shared" si="18"/>
        <v>1847905</v>
      </c>
      <c r="Y57" s="8">
        <f>IF(X57=0,"%",W57/X57)</f>
        <v>0.20524845162494826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70">
        <f>SUM(G56:G57)</f>
        <v>129889.60999999999</v>
      </c>
      <c r="H58" s="57">
        <f>SUM(H56-H57)</f>
        <v>-379279.64</v>
      </c>
      <c r="I58" s="57">
        <f>SUM(I56:I57)</f>
        <v>2072747</v>
      </c>
      <c r="J58" s="31">
        <f>IF(I58=0,"",H58/I58)</f>
        <v>-0.18298404966935183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70">
        <f>SUM(Q56:Q57)</f>
        <v>0</v>
      </c>
      <c r="R58" s="70">
        <f>SUM(R56:R57)</f>
        <v>0</v>
      </c>
      <c r="S58" s="70">
        <f>SUM(S56:S57)</f>
        <v>0</v>
      </c>
      <c r="T58" s="150" t="str">
        <f>IF(S58=0,"",R58/S58)</f>
        <v/>
      </c>
      <c r="U58" s="29"/>
      <c r="V58" s="57">
        <f>SUM(V56:V57)</f>
        <v>129889.60999999999</v>
      </c>
      <c r="W58" s="57">
        <f>W56-W57</f>
        <v>-379279.64</v>
      </c>
      <c r="X58" s="57">
        <f>SUM(X56:X57)</f>
        <v>2072747</v>
      </c>
      <c r="Y58" s="31">
        <f>IF(X58=0,"",W58/X58)</f>
        <v>-0.18298404966935183</v>
      </c>
    </row>
    <row r="59" spans="1:25" x14ac:dyDescent="0.2">
      <c r="A59" s="3"/>
      <c r="B59" s="3"/>
      <c r="C59" s="5"/>
      <c r="D59" s="5"/>
      <c r="E59" s="5"/>
      <c r="F59" s="5"/>
      <c r="G59" s="28"/>
      <c r="H59" s="29"/>
      <c r="I59" s="29"/>
      <c r="J59" s="8"/>
      <c r="K59" s="29"/>
      <c r="L59" s="29"/>
      <c r="M59" s="29"/>
      <c r="N59" s="29"/>
      <c r="O59" s="8"/>
      <c r="P59" s="29"/>
      <c r="Q59" s="28"/>
      <c r="R59" s="28"/>
      <c r="S59" s="28"/>
      <c r="T59" s="20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68"/>
      <c r="H60" s="59">
        <f>H53+H58</f>
        <v>641493.09</v>
      </c>
      <c r="I60" s="59"/>
      <c r="J60" s="8" t="str">
        <f>IF(I60=0,"",H60/I60)</f>
        <v/>
      </c>
      <c r="K60" s="29"/>
      <c r="L60" s="59"/>
      <c r="M60" s="59">
        <f>M32-M52+M58</f>
        <v>-82452.080000000031</v>
      </c>
      <c r="N60" s="59"/>
      <c r="O60" s="29"/>
      <c r="P60" s="29"/>
      <c r="Q60" s="68"/>
      <c r="R60" s="68">
        <f>R32-R52+R58</f>
        <v>14935.89</v>
      </c>
      <c r="S60" s="68">
        <f>S32-S52+S58</f>
        <v>0</v>
      </c>
      <c r="T60" s="28"/>
      <c r="U60" s="29">
        <f>U32-U52+U58</f>
        <v>0</v>
      </c>
      <c r="V60" s="59"/>
      <c r="W60" s="59">
        <f>W32-W52+W58</f>
        <v>573976.9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68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68"/>
      <c r="R61" s="68"/>
      <c r="S61" s="68"/>
      <c r="T61" s="20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68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68"/>
      <c r="R62" s="68"/>
      <c r="S62" s="68"/>
      <c r="T62" s="20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70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70">
        <f>SUM(Q61:Q62)</f>
        <v>0</v>
      </c>
      <c r="R63" s="70">
        <f>SUM(R61:R62)</f>
        <v>0</v>
      </c>
      <c r="S63" s="70">
        <f>SUM(S61:S62)</f>
        <v>0</v>
      </c>
      <c r="T63" s="150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8"/>
      <c r="H64" s="29"/>
      <c r="I64" s="29"/>
      <c r="J64" s="8"/>
      <c r="K64" s="29"/>
      <c r="L64" s="29"/>
      <c r="M64" s="29"/>
      <c r="N64" s="29"/>
      <c r="O64" s="8"/>
      <c r="P64" s="29"/>
      <c r="Q64" s="28"/>
      <c r="R64" s="28"/>
      <c r="S64" s="28"/>
      <c r="T64" s="20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148">
        <f>G63+G60</f>
        <v>0</v>
      </c>
      <c r="H65" s="65">
        <f>H63+H60</f>
        <v>641493.09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-82452.080000000031</v>
      </c>
      <c r="N65" s="65">
        <f>N63+N60</f>
        <v>0</v>
      </c>
      <c r="O65" s="38" t="str">
        <f>IF(N65=0,"%",M65/N65)</f>
        <v>%</v>
      </c>
      <c r="P65" s="39"/>
      <c r="Q65" s="148">
        <f>Q63+Q60</f>
        <v>0</v>
      </c>
      <c r="R65" s="148">
        <f>R63+R60</f>
        <v>14935.89</v>
      </c>
      <c r="S65" s="148">
        <f>S63+S60</f>
        <v>0</v>
      </c>
      <c r="T65" s="151" t="str">
        <f>IF(S65=0,"%",R65/S65)</f>
        <v>%</v>
      </c>
      <c r="U65" s="39"/>
      <c r="V65" s="65">
        <f>V63+V60</f>
        <v>0</v>
      </c>
      <c r="W65" s="65">
        <f>W63+W60</f>
        <v>573976.9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100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sheetPr codeName="Sheet8"/>
  <dimension ref="A1:AO68"/>
  <sheetViews>
    <sheetView topLeftCell="C1" zoomScale="85" zoomScaleNormal="85" zoomScalePageLayoutView="20" workbookViewId="0">
      <selection activeCell="W12" sqref="W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7109375" style="149" bestFit="1" customWidth="1"/>
    <col min="8" max="8" width="20" style="4" customWidth="1"/>
    <col min="9" max="9" width="19.140625" style="4" customWidth="1"/>
    <col min="10" max="10" width="11.42578125" style="4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bestFit="1" customWidth="1"/>
    <col min="21" max="21" width="1.85546875" style="4" customWidth="1"/>
    <col min="22" max="22" width="16.7109375" style="149" customWidth="1"/>
    <col min="23" max="23" width="17.140625" style="149" customWidth="1"/>
    <col min="24" max="24" width="16.7109375" style="149" customWidth="1"/>
    <col min="25" max="25" width="11.42578125" style="149" customWidth="1"/>
    <col min="26" max="26" width="1.85546875" style="4" customWidth="1"/>
    <col min="27" max="27" width="16.7109375" style="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25" t="s">
        <v>60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55"/>
      <c r="V1" s="125" t="s">
        <v>60</v>
      </c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55"/>
    </row>
    <row r="2" spans="1:41" ht="23.25" x14ac:dyDescent="0.35">
      <c r="A2" s="3"/>
      <c r="B2" s="3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55"/>
      <c r="V2" s="125" t="s">
        <v>0</v>
      </c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55"/>
    </row>
    <row r="3" spans="1:41" ht="23.25" x14ac:dyDescent="0.35">
      <c r="A3" s="3"/>
      <c r="B3" s="3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55"/>
      <c r="V3" s="125" t="s">
        <v>1</v>
      </c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55"/>
    </row>
    <row r="4" spans="1:41" ht="23.25" x14ac:dyDescent="0.35">
      <c r="A4" s="3"/>
      <c r="B4" s="3"/>
      <c r="C4" s="125" t="str">
        <f>'1351'!C4:Y4</f>
        <v>For Month or Quarter Ended and For the Year Ending 9/30/2024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55"/>
      <c r="V4" s="125" t="str">
        <f>C4</f>
        <v>For Month or Quarter Ended and For the Year Ending 9/30/2024</v>
      </c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55"/>
    </row>
    <row r="5" spans="1:41" ht="23.25" x14ac:dyDescent="0.35">
      <c r="A5" s="3"/>
      <c r="B5" s="3"/>
      <c r="C5" s="53"/>
      <c r="D5" s="53"/>
      <c r="E5" s="53"/>
      <c r="F5" s="53"/>
      <c r="G5" s="145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145"/>
      <c r="W5" s="145"/>
      <c r="X5" s="145"/>
      <c r="Y5" s="145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7"/>
      <c r="W6" s="17"/>
      <c r="X6" s="17"/>
      <c r="Y6" s="17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7"/>
      <c r="W7" s="17"/>
      <c r="X7" s="17"/>
      <c r="Y7" s="17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26" t="s">
        <v>5</v>
      </c>
      <c r="H8" s="127"/>
      <c r="I8" s="127"/>
      <c r="J8" s="128"/>
      <c r="K8" s="9"/>
      <c r="L8" s="126" t="s">
        <v>6</v>
      </c>
      <c r="M8" s="127"/>
      <c r="N8" s="127"/>
      <c r="O8" s="128"/>
      <c r="P8" s="9"/>
      <c r="Q8" s="126" t="s">
        <v>7</v>
      </c>
      <c r="R8" s="127"/>
      <c r="S8" s="127"/>
      <c r="T8" s="128"/>
      <c r="U8" s="9"/>
      <c r="V8" s="130" t="s">
        <v>8</v>
      </c>
      <c r="W8" s="131"/>
      <c r="X8" s="131"/>
      <c r="Y8" s="132"/>
      <c r="Z8" s="9"/>
      <c r="AA8" s="126" t="s">
        <v>61</v>
      </c>
      <c r="AB8" s="127"/>
      <c r="AC8" s="127"/>
      <c r="AD8" s="128"/>
      <c r="AE8" s="9"/>
      <c r="AF8" s="126" t="s">
        <v>62</v>
      </c>
      <c r="AG8" s="127"/>
      <c r="AH8" s="127"/>
      <c r="AI8" s="128"/>
      <c r="AJ8" s="9"/>
      <c r="AK8" s="126" t="s">
        <v>9</v>
      </c>
      <c r="AL8" s="127"/>
      <c r="AM8" s="127"/>
      <c r="AN8" s="129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41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41" t="s">
        <v>11</v>
      </c>
      <c r="W9" s="41" t="s">
        <v>12</v>
      </c>
      <c r="X9" s="41" t="s">
        <v>13</v>
      </c>
      <c r="Y9" s="41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1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7"/>
      <c r="W10" s="17"/>
      <c r="X10" s="17"/>
      <c r="Y10" s="17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7"/>
      <c r="W11" s="17"/>
      <c r="X11" s="17"/>
      <c r="Y11" s="17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17"/>
      <c r="W12" s="17"/>
      <c r="X12" s="17"/>
      <c r="Y12" s="17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19">
        <v>0</v>
      </c>
      <c r="W13" s="19">
        <v>0</v>
      </c>
      <c r="X13" s="19">
        <v>0</v>
      </c>
      <c r="Y13" s="20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374986.76000000007</v>
      </c>
      <c r="M14" s="19">
        <v>402530.20000000007</v>
      </c>
      <c r="N14" s="19">
        <v>3885000</v>
      </c>
      <c r="O14" s="20">
        <f>IF(N14=0,"%",M14/N14)</f>
        <v>0.1036113770913771</v>
      </c>
      <c r="P14" s="25"/>
      <c r="Q14" s="19">
        <v>0</v>
      </c>
      <c r="R14" s="19">
        <v>1854792.81</v>
      </c>
      <c r="S14" s="19">
        <v>3502314.06</v>
      </c>
      <c r="T14" s="8">
        <f>IF(S14=0,"%",R14/S14)</f>
        <v>0.52959065869723865</v>
      </c>
      <c r="U14" s="26"/>
      <c r="V14" s="19">
        <v>0</v>
      </c>
      <c r="W14" s="19">
        <v>0</v>
      </c>
      <c r="X14" s="19">
        <v>0</v>
      </c>
      <c r="Y14" s="20" t="str">
        <f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374986.76000000007</v>
      </c>
      <c r="AL14" s="23">
        <f t="shared" si="1"/>
        <v>2257323.0100000002</v>
      </c>
      <c r="AM14" s="23">
        <f t="shared" si="1"/>
        <v>7387314.0600000005</v>
      </c>
      <c r="AN14" s="8">
        <f>IF(AM14=0,"%",AL14/AM14)</f>
        <v>0.30556748930205901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19"/>
      <c r="W15" s="19"/>
      <c r="X15" s="19"/>
      <c r="Y15" s="20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4">IF(S16=0,"%",R16/S16)</f>
        <v>%</v>
      </c>
      <c r="U16" s="26"/>
      <c r="V16" s="19">
        <v>0</v>
      </c>
      <c r="W16" s="19">
        <v>0</v>
      </c>
      <c r="X16" s="19">
        <v>0</v>
      </c>
      <c r="Y16" s="20" t="str">
        <f t="shared" ref="Y16:Y21" si="5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251853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8" t="str">
        <f t="shared" si="4"/>
        <v>%</v>
      </c>
      <c r="U17" s="26"/>
      <c r="V17" s="19">
        <v>0</v>
      </c>
      <c r="W17" s="19">
        <v>0</v>
      </c>
      <c r="X17" s="19">
        <v>0</v>
      </c>
      <c r="Y17" s="20" t="str">
        <f t="shared" si="5"/>
        <v>%</v>
      </c>
      <c r="Z17" s="26"/>
      <c r="AA17" s="23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184963.38</v>
      </c>
      <c r="H18" s="19">
        <v>510576.79</v>
      </c>
      <c r="I18" s="19">
        <v>2676220.7599999998</v>
      </c>
      <c r="J18" s="20">
        <f t="shared" si="2"/>
        <v>0.19078276262979144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8" t="str">
        <f t="shared" si="4"/>
        <v>%</v>
      </c>
      <c r="U18" s="26"/>
      <c r="V18" s="19">
        <v>0</v>
      </c>
      <c r="W18" s="19">
        <v>0</v>
      </c>
      <c r="X18" s="19">
        <v>0</v>
      </c>
      <c r="Y18" s="20" t="str">
        <f t="shared" si="5"/>
        <v>%</v>
      </c>
      <c r="Z18" s="26"/>
      <c r="AA18" s="23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184963.38</v>
      </c>
      <c r="AL18" s="23">
        <f t="shared" si="9"/>
        <v>510576.79</v>
      </c>
      <c r="AM18" s="23">
        <f t="shared" si="10"/>
        <v>2676220.7599999998</v>
      </c>
      <c r="AN18" s="8">
        <f t="shared" si="11"/>
        <v>0.19078276262979144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8" t="str">
        <f t="shared" si="4"/>
        <v>%</v>
      </c>
      <c r="U19" s="26"/>
      <c r="V19" s="19">
        <v>0</v>
      </c>
      <c r="W19" s="19">
        <v>0</v>
      </c>
      <c r="X19" s="19">
        <v>0</v>
      </c>
      <c r="Y19" s="20" t="str">
        <f t="shared" si="5"/>
        <v>%</v>
      </c>
      <c r="Z19" s="26"/>
      <c r="AA19" s="23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8" t="str">
        <f t="shared" si="4"/>
        <v>%</v>
      </c>
      <c r="U20" s="26"/>
      <c r="V20" s="19">
        <v>0</v>
      </c>
      <c r="W20" s="19">
        <v>0</v>
      </c>
      <c r="X20" s="19">
        <v>0</v>
      </c>
      <c r="Y20" s="20" t="str">
        <f t="shared" si="5"/>
        <v>%</v>
      </c>
      <c r="Z20" s="26"/>
      <c r="AA20" s="23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507705.56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19">
        <v>0</v>
      </c>
      <c r="W21" s="19">
        <v>0</v>
      </c>
      <c r="X21" s="19">
        <v>0</v>
      </c>
      <c r="Y21" s="20" t="str">
        <f t="shared" si="5"/>
        <v>%</v>
      </c>
      <c r="Z21" s="26"/>
      <c r="AA21" s="23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169235.18</v>
      </c>
      <c r="AL21" s="23">
        <f t="shared" si="9"/>
        <v>507705.56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19"/>
      <c r="W22" s="19"/>
      <c r="X22" s="19"/>
      <c r="Y22" s="20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171.67</v>
      </c>
      <c r="H23" s="19">
        <v>509.41</v>
      </c>
      <c r="I23" s="19">
        <v>1000</v>
      </c>
      <c r="J23" s="20">
        <f t="shared" si="2"/>
        <v>0.50941000000000003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3">IF(S23=0,"%",R23/S23)</f>
        <v>%</v>
      </c>
      <c r="U23" s="29"/>
      <c r="V23" s="19">
        <v>0</v>
      </c>
      <c r="W23" s="19">
        <v>0</v>
      </c>
      <c r="X23" s="19">
        <v>0</v>
      </c>
      <c r="Y23" s="20" t="str">
        <f t="shared" ref="Y23:Y28" si="14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171.67</v>
      </c>
      <c r="AL23" s="23">
        <f t="shared" si="9"/>
        <v>509.41</v>
      </c>
      <c r="AM23" s="23">
        <f t="shared" si="10"/>
        <v>1000</v>
      </c>
      <c r="AN23" s="8">
        <f t="shared" ref="AN23:AN28" si="17">IF(AM23=0,"%",AL23/AM23)</f>
        <v>0.50941000000000003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8" t="str">
        <f t="shared" si="13"/>
        <v>%</v>
      </c>
      <c r="U24" s="29"/>
      <c r="V24" s="19">
        <v>0</v>
      </c>
      <c r="W24" s="19">
        <v>0</v>
      </c>
      <c r="X24" s="19">
        <v>0</v>
      </c>
      <c r="Y24" s="20" t="str">
        <f t="shared" si="14"/>
        <v>%</v>
      </c>
      <c r="Z24" s="29"/>
      <c r="AA24" s="23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8" t="str">
        <f t="shared" si="13"/>
        <v>%</v>
      </c>
      <c r="U25" s="29"/>
      <c r="V25" s="19">
        <v>0</v>
      </c>
      <c r="W25" s="19">
        <v>0</v>
      </c>
      <c r="X25" s="19">
        <v>0</v>
      </c>
      <c r="Y25" s="20" t="str">
        <f t="shared" si="14"/>
        <v>%</v>
      </c>
      <c r="Z25" s="29"/>
      <c r="AA25" s="23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8" t="str">
        <f t="shared" si="13"/>
        <v>%</v>
      </c>
      <c r="U26" s="29"/>
      <c r="V26" s="19">
        <v>0</v>
      </c>
      <c r="W26" s="19">
        <v>0</v>
      </c>
      <c r="X26" s="19">
        <v>0</v>
      </c>
      <c r="Y26" s="20" t="str">
        <f t="shared" si="14"/>
        <v>%</v>
      </c>
      <c r="Z26" s="29"/>
      <c r="AA26" s="23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20302.2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f>-913.91+160.69</f>
        <v>-753.22</v>
      </c>
      <c r="H27" s="19">
        <f>773.59+800+9424.75-913.91</f>
        <v>10084.43</v>
      </c>
      <c r="I27" s="19">
        <v>218251</v>
      </c>
      <c r="J27" s="20">
        <f>IF(I27=0,"%",H27/I27)</f>
        <v>4.620565312415522E-2</v>
      </c>
      <c r="K27" s="28"/>
      <c r="L27" s="19">
        <f>34381.23</f>
        <v>34381.230000000003</v>
      </c>
      <c r="M27" s="19">
        <f>58640.38+83.2+1000</f>
        <v>59723.579999999994</v>
      </c>
      <c r="N27" s="19">
        <v>310000</v>
      </c>
      <c r="O27" s="20">
        <f t="shared" si="12"/>
        <v>0.19265670967741932</v>
      </c>
      <c r="P27" s="28"/>
      <c r="Q27" s="19">
        <v>0</v>
      </c>
      <c r="R27" s="19">
        <v>0</v>
      </c>
      <c r="S27" s="19">
        <v>0</v>
      </c>
      <c r="T27" s="8" t="str">
        <f t="shared" si="13"/>
        <v>%</v>
      </c>
      <c r="U27" s="29"/>
      <c r="V27" s="19">
        <v>0</v>
      </c>
      <c r="W27" s="19">
        <v>0</v>
      </c>
      <c r="X27" s="19">
        <v>0</v>
      </c>
      <c r="Y27" s="20" t="str">
        <f t="shared" si="14"/>
        <v>%</v>
      </c>
      <c r="Z27" s="29"/>
      <c r="AA27" s="23">
        <v>498427.75</v>
      </c>
      <c r="AB27" s="23">
        <v>1419483.26</v>
      </c>
      <c r="AC27" s="23">
        <v>6234500</v>
      </c>
      <c r="AD27" s="8">
        <f t="shared" si="15"/>
        <v>0.22768197289277409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532055.76</v>
      </c>
      <c r="AL27" s="23">
        <f>H27+M27+R27+W27+AB27+AG27</f>
        <v>1489291.27</v>
      </c>
      <c r="AM27" s="23">
        <f t="shared" si="10"/>
        <v>6762751</v>
      </c>
      <c r="AN27" s="8">
        <f t="shared" si="17"/>
        <v>0.22021974045769244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8" t="str">
        <f t="shared" si="13"/>
        <v>%</v>
      </c>
      <c r="U28" s="29"/>
      <c r="V28" s="19">
        <v>42.66</v>
      </c>
      <c r="W28" s="19">
        <v>760.1</v>
      </c>
      <c r="X28" s="19">
        <v>0</v>
      </c>
      <c r="Y28" s="20" t="str">
        <f t="shared" si="14"/>
        <v>%</v>
      </c>
      <c r="Z28" s="29"/>
      <c r="AA28" s="23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42.66</v>
      </c>
      <c r="AL28" s="23">
        <f t="shared" si="9"/>
        <v>760.1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70">
        <f>SUM(G13:G28)</f>
        <v>353617.01</v>
      </c>
      <c r="H29" s="57">
        <f>SUM(H13:H28)</f>
        <v>1028876.1900000001</v>
      </c>
      <c r="I29" s="57">
        <f>SUM(I13:I28)</f>
        <v>3167626.96</v>
      </c>
      <c r="J29" s="31">
        <f>IF(I29=0,"",H29/I29)</f>
        <v>0.32480977179206738</v>
      </c>
      <c r="K29" s="29"/>
      <c r="L29" s="57">
        <f>SUM(L13:L28)</f>
        <v>409367.99000000005</v>
      </c>
      <c r="M29" s="57">
        <f>SUM(M13:M28)</f>
        <v>462253.78000000009</v>
      </c>
      <c r="N29" s="57">
        <f>SUM(N13:N28)</f>
        <v>4195000</v>
      </c>
      <c r="O29" s="31">
        <f>IF(N29=0,"",M29/N29)</f>
        <v>0.11019160429082243</v>
      </c>
      <c r="P29" s="29"/>
      <c r="Q29" s="57">
        <f>SUM(Q13:Q28)</f>
        <v>0</v>
      </c>
      <c r="R29" s="57">
        <f>SUM(R13:R28)</f>
        <v>1854792.81</v>
      </c>
      <c r="S29" s="57">
        <f>SUM(S13:S28)</f>
        <v>3502314.06</v>
      </c>
      <c r="T29" s="31">
        <f>IF(S29=0,"",R29/S29)</f>
        <v>0.52959065869723865</v>
      </c>
      <c r="U29" s="29"/>
      <c r="V29" s="70">
        <f>SUM(V13:V28)</f>
        <v>42.66</v>
      </c>
      <c r="W29" s="70">
        <f>SUM(W13:W28)</f>
        <v>760.1</v>
      </c>
      <c r="X29" s="70">
        <f>SUM(X13:X28)</f>
        <v>0</v>
      </c>
      <c r="Y29" s="150" t="str">
        <f>IF(X29=0,"",W29/X29)</f>
        <v/>
      </c>
      <c r="Z29" s="29"/>
      <c r="AA29" s="57">
        <f>SUM(AA13:AA28)</f>
        <v>498427.75</v>
      </c>
      <c r="AB29" s="57">
        <f>SUM(AB13:AB28)</f>
        <v>1419483.26</v>
      </c>
      <c r="AC29" s="57">
        <f>SUM(AC13:AC28)</f>
        <v>6234500</v>
      </c>
      <c r="AD29" s="31">
        <f>IF(AC29=0,"",AB29/AC29)</f>
        <v>0.22768197289277409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1261455.4099999999</v>
      </c>
      <c r="AL29" s="57">
        <f>SUM(AL13:AL28)</f>
        <v>4766166.1400000006</v>
      </c>
      <c r="AM29" s="57">
        <f>SUM(AM13:AM28)</f>
        <v>17099441.02</v>
      </c>
      <c r="AN29" s="31">
        <f>IF(AM29=0,"",AL29/AM29)</f>
        <v>0.27873227753032132</v>
      </c>
    </row>
    <row r="30" spans="1:40" x14ac:dyDescent="0.2">
      <c r="A30" s="3"/>
      <c r="B30" s="3"/>
      <c r="C30" s="5"/>
      <c r="D30" s="5"/>
      <c r="E30" s="5"/>
      <c r="F30" s="5"/>
      <c r="G30" s="28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8"/>
      <c r="W30" s="28"/>
      <c r="X30" s="28"/>
      <c r="Y30" s="20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8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8"/>
      <c r="W31" s="28"/>
      <c r="X31" s="28"/>
      <c r="Y31" s="20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8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8"/>
      <c r="W32" s="28"/>
      <c r="X32" s="28"/>
      <c r="Y32" s="20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0</v>
      </c>
      <c r="H33" s="19">
        <v>0</v>
      </c>
      <c r="I33" s="19">
        <v>108352</v>
      </c>
      <c r="J33" s="8">
        <f t="shared" ref="J33:J48" si="18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167880.87</v>
      </c>
      <c r="R33" s="19">
        <v>352731.32999999996</v>
      </c>
      <c r="S33" s="19">
        <v>382807.81999999995</v>
      </c>
      <c r="T33" s="8">
        <f t="shared" ref="T33:T49" si="20">IF(S33=0,"%",R33/S33)</f>
        <v>0.92143188192968473</v>
      </c>
      <c r="U33" s="29"/>
      <c r="V33" s="19">
        <v>0</v>
      </c>
      <c r="W33" s="19">
        <v>0</v>
      </c>
      <c r="X33" s="19">
        <v>0</v>
      </c>
      <c r="Y33" s="20" t="str">
        <f t="shared" ref="Y33:Y49" si="21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167880.87</v>
      </c>
      <c r="AL33" s="23">
        <f>H33+M33+R33+W33+AB33+AG33</f>
        <v>352731.32999999996</v>
      </c>
      <c r="AM33" s="23">
        <f>I33+N33+S33+X33+AC33+AH33</f>
        <v>491159.81999999995</v>
      </c>
      <c r="AN33" s="8">
        <f t="shared" ref="AN33:AN49" si="24">IF(AM33=0,"%",AL33/AM33)</f>
        <v>0.71815998710969475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f>39139.56+8977.03+4435.14+8570.4+6939.24</f>
        <v>68061.37</v>
      </c>
      <c r="H34" s="19">
        <f>78278.03+30632.71+12229.31+22617.76+25771.96</f>
        <v>169529.77</v>
      </c>
      <c r="I34" s="19">
        <v>766816.88</v>
      </c>
      <c r="J34" s="8">
        <f t="shared" si="18"/>
        <v>0.2210824701720181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v>63207.889999999992</v>
      </c>
      <c r="R34" s="19">
        <v>204288.72000000003</v>
      </c>
      <c r="S34" s="19">
        <v>939145.6</v>
      </c>
      <c r="T34" s="8">
        <f t="shared" si="20"/>
        <v>0.21752614291117378</v>
      </c>
      <c r="U34" s="29"/>
      <c r="V34" s="19">
        <v>0</v>
      </c>
      <c r="W34" s="19">
        <v>0</v>
      </c>
      <c r="X34" s="19">
        <v>0</v>
      </c>
      <c r="Y34" s="20" t="str">
        <f t="shared" si="21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131269.25999999998</v>
      </c>
      <c r="AL34" s="23">
        <f t="shared" ref="AL34:AL49" si="26">H34+M34+R34+W34+AB34+AG34</f>
        <v>373818.49</v>
      </c>
      <c r="AM34" s="23">
        <f t="shared" ref="AM34:AM49" si="27">I34+N34+S34+X34+AC34+AH34</f>
        <v>1705962.48</v>
      </c>
      <c r="AN34" s="8">
        <f t="shared" si="24"/>
        <v>0.21912468438344551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33656.660000000003</v>
      </c>
      <c r="H35" s="19">
        <v>98423.91</v>
      </c>
      <c r="I35" s="19">
        <v>176000</v>
      </c>
      <c r="J35" s="8">
        <f t="shared" si="18"/>
        <v>0.55922676136363636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23">
        <v>0</v>
      </c>
      <c r="R35" s="23">
        <v>0</v>
      </c>
      <c r="S35" s="19">
        <v>0</v>
      </c>
      <c r="T35" s="8" t="str">
        <f t="shared" si="20"/>
        <v>%</v>
      </c>
      <c r="U35" s="29"/>
      <c r="V35" s="19">
        <v>0</v>
      </c>
      <c r="W35" s="19">
        <v>0</v>
      </c>
      <c r="X35" s="19">
        <v>0</v>
      </c>
      <c r="Y35" s="20" t="str">
        <f t="shared" si="21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33656.660000000003</v>
      </c>
      <c r="AL35" s="23">
        <f t="shared" si="26"/>
        <v>98423.91</v>
      </c>
      <c r="AM35" s="23">
        <f t="shared" si="27"/>
        <v>176000</v>
      </c>
      <c r="AN35" s="8">
        <f t="shared" si="24"/>
        <v>0.55922676136363636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13524.250000000002</v>
      </c>
      <c r="H36" s="19">
        <v>97453.84</v>
      </c>
      <c r="I36" s="19">
        <v>422707.11000000004</v>
      </c>
      <c r="J36" s="8">
        <f t="shared" si="18"/>
        <v>0.23054696193778237</v>
      </c>
      <c r="K36" s="29"/>
      <c r="L36" s="19">
        <v>0</v>
      </c>
      <c r="M36" s="19">
        <v>0</v>
      </c>
      <c r="N36" s="19">
        <v>5263.84</v>
      </c>
      <c r="O36" s="8">
        <f t="shared" si="19"/>
        <v>0</v>
      </c>
      <c r="P36" s="29"/>
      <c r="Q36" s="19">
        <v>-913.91</v>
      </c>
      <c r="R36" s="19">
        <v>-913.91</v>
      </c>
      <c r="S36" s="19">
        <v>78925.959999999992</v>
      </c>
      <c r="T36" s="8">
        <f t="shared" si="20"/>
        <v>-1.1579333339752853E-2</v>
      </c>
      <c r="U36" s="29"/>
      <c r="V36" s="19">
        <v>0</v>
      </c>
      <c r="W36" s="19">
        <v>0</v>
      </c>
      <c r="X36" s="19">
        <v>0</v>
      </c>
      <c r="Y36" s="20" t="str">
        <f t="shared" si="21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12610.340000000002</v>
      </c>
      <c r="AL36" s="23">
        <f t="shared" si="26"/>
        <v>96539.93</v>
      </c>
      <c r="AM36" s="23">
        <f t="shared" si="27"/>
        <v>506896.91000000003</v>
      </c>
      <c r="AN36" s="8">
        <f t="shared" si="24"/>
        <v>0.19045278851670253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23">
        <v>0</v>
      </c>
      <c r="R37" s="23">
        <v>0</v>
      </c>
      <c r="S37" s="19">
        <v>0</v>
      </c>
      <c r="T37" s="8" t="str">
        <f t="shared" si="20"/>
        <v>%</v>
      </c>
      <c r="U37" s="29"/>
      <c r="V37" s="19">
        <v>0</v>
      </c>
      <c r="W37" s="19">
        <v>0</v>
      </c>
      <c r="X37" s="19">
        <v>0</v>
      </c>
      <c r="Y37" s="20" t="str">
        <f t="shared" si="21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23">
        <v>1148414.99</v>
      </c>
      <c r="R38" s="23">
        <v>1148414.99</v>
      </c>
      <c r="S38" s="19">
        <v>1415266.6</v>
      </c>
      <c r="T38" s="8">
        <f t="shared" si="20"/>
        <v>0.81144781484986639</v>
      </c>
      <c r="U38" s="29"/>
      <c r="V38" s="19">
        <v>0</v>
      </c>
      <c r="W38" s="19">
        <v>0</v>
      </c>
      <c r="X38" s="19">
        <v>0</v>
      </c>
      <c r="Y38" s="20" t="str">
        <f t="shared" si="21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1148414.99</v>
      </c>
      <c r="AL38" s="23">
        <f t="shared" si="26"/>
        <v>1148414.99</v>
      </c>
      <c r="AM38" s="23">
        <f t="shared" si="27"/>
        <v>1415266.6</v>
      </c>
      <c r="AN38" s="8">
        <f t="shared" si="24"/>
        <v>0.81144781484986639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49350.36</v>
      </c>
      <c r="H39" s="19">
        <v>181212.28</v>
      </c>
      <c r="I39" s="19">
        <v>606263.59000000008</v>
      </c>
      <c r="J39" s="8">
        <f t="shared" si="18"/>
        <v>0.29890015331450132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23">
        <v>0</v>
      </c>
      <c r="R39" s="23">
        <v>0</v>
      </c>
      <c r="S39" s="19">
        <v>0</v>
      </c>
      <c r="T39" s="8" t="str">
        <f t="shared" si="20"/>
        <v>%</v>
      </c>
      <c r="U39" s="29"/>
      <c r="V39" s="19">
        <v>0</v>
      </c>
      <c r="W39" s="19">
        <v>0</v>
      </c>
      <c r="X39" s="19">
        <v>0</v>
      </c>
      <c r="Y39" s="20" t="str">
        <f t="shared" si="21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49350.36</v>
      </c>
      <c r="AL39" s="23">
        <f t="shared" si="26"/>
        <v>181212.28</v>
      </c>
      <c r="AM39" s="23">
        <f t="shared" si="27"/>
        <v>606263.59000000008</v>
      </c>
      <c r="AN39" s="8">
        <f t="shared" si="24"/>
        <v>0.29890015331450132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321071.2699999999</v>
      </c>
      <c r="M40" s="19">
        <v>400800.35999999993</v>
      </c>
      <c r="N40" s="19">
        <v>3616564.2299999995</v>
      </c>
      <c r="O40" s="8">
        <f t="shared" si="19"/>
        <v>0.11082351494694731</v>
      </c>
      <c r="P40" s="29"/>
      <c r="Q40" s="23">
        <v>0</v>
      </c>
      <c r="R40" s="23">
        <v>0</v>
      </c>
      <c r="S40" s="19">
        <v>0</v>
      </c>
      <c r="T40" s="8" t="str">
        <f t="shared" si="20"/>
        <v>%</v>
      </c>
      <c r="U40" s="29"/>
      <c r="V40" s="19">
        <v>0</v>
      </c>
      <c r="W40" s="19">
        <v>0</v>
      </c>
      <c r="X40" s="19">
        <v>0</v>
      </c>
      <c r="Y40" s="20" t="str">
        <f t="shared" si="21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321071.2699999999</v>
      </c>
      <c r="AL40" s="23">
        <f t="shared" si="26"/>
        <v>400800.35999999993</v>
      </c>
      <c r="AM40" s="23">
        <f t="shared" si="27"/>
        <v>3616564.2299999995</v>
      </c>
      <c r="AN40" s="8">
        <f t="shared" si="24"/>
        <v>0.11082351494694731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13769.520000000002</v>
      </c>
      <c r="H41" s="19">
        <f>1861.55+57046.29</f>
        <v>58907.840000000004</v>
      </c>
      <c r="I41" s="19">
        <v>216609.29</v>
      </c>
      <c r="J41" s="8">
        <f t="shared" si="18"/>
        <v>0.27195435615896252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23">
        <v>0</v>
      </c>
      <c r="R41" s="23">
        <v>0</v>
      </c>
      <c r="S41" s="19">
        <v>0</v>
      </c>
      <c r="T41" s="8" t="str">
        <f t="shared" si="20"/>
        <v>%</v>
      </c>
      <c r="U41" s="29"/>
      <c r="V41" s="19">
        <v>0</v>
      </c>
      <c r="W41" s="19">
        <v>0</v>
      </c>
      <c r="X41" s="19">
        <v>0</v>
      </c>
      <c r="Y41" s="20" t="str">
        <f t="shared" si="21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13769.520000000002</v>
      </c>
      <c r="AL41" s="23">
        <f t="shared" si="26"/>
        <v>58907.840000000004</v>
      </c>
      <c r="AM41" s="23">
        <f t="shared" si="27"/>
        <v>216609.29</v>
      </c>
      <c r="AN41" s="8">
        <f t="shared" si="24"/>
        <v>0.27195435615896252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161235.06000000003</v>
      </c>
      <c r="H42" s="19">
        <v>454870.32000000007</v>
      </c>
      <c r="I42" s="19">
        <v>2432618.75</v>
      </c>
      <c r="J42" s="8">
        <f t="shared" si="18"/>
        <v>0.18698791991141236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23">
        <v>0</v>
      </c>
      <c r="R42" s="23">
        <v>0</v>
      </c>
      <c r="S42" s="19">
        <v>0</v>
      </c>
      <c r="T42" s="8" t="str">
        <f t="shared" si="20"/>
        <v>%</v>
      </c>
      <c r="U42" s="29"/>
      <c r="V42" s="19">
        <v>0</v>
      </c>
      <c r="W42" s="19">
        <v>0</v>
      </c>
      <c r="X42" s="19">
        <v>0</v>
      </c>
      <c r="Y42" s="20" t="str">
        <f t="shared" si="21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161235.06000000003</v>
      </c>
      <c r="AL42" s="23">
        <f t="shared" si="26"/>
        <v>454870.32000000007</v>
      </c>
      <c r="AM42" s="23">
        <f t="shared" si="27"/>
        <v>2432618.75</v>
      </c>
      <c r="AN42" s="8">
        <f t="shared" si="24"/>
        <v>0.18698791991141236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224560.34</v>
      </c>
      <c r="H43" s="19">
        <v>301701.34999999998</v>
      </c>
      <c r="I43" s="19">
        <v>821374</v>
      </c>
      <c r="J43" s="8">
        <f t="shared" si="18"/>
        <v>0.36731300235946107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-141881.26999999999</v>
      </c>
      <c r="R43" s="19">
        <v>6544.73</v>
      </c>
      <c r="S43" s="19">
        <v>250000</v>
      </c>
      <c r="T43" s="8">
        <f t="shared" si="20"/>
        <v>2.6178919999999998E-2</v>
      </c>
      <c r="U43" s="29"/>
      <c r="V43" s="19">
        <v>0</v>
      </c>
      <c r="W43" s="19">
        <v>0</v>
      </c>
      <c r="X43" s="19">
        <v>0</v>
      </c>
      <c r="Y43" s="20" t="str">
        <f t="shared" si="21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82679.070000000007</v>
      </c>
      <c r="AL43" s="23">
        <f t="shared" si="26"/>
        <v>308246.07999999996</v>
      </c>
      <c r="AM43" s="23">
        <f t="shared" si="27"/>
        <v>1071374</v>
      </c>
      <c r="AN43" s="8">
        <f t="shared" si="24"/>
        <v>0.28771099541336637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8" t="str">
        <f t="shared" si="20"/>
        <v>%</v>
      </c>
      <c r="U44" s="29"/>
      <c r="V44" s="19">
        <v>0</v>
      </c>
      <c r="W44" s="19">
        <v>0</v>
      </c>
      <c r="X44" s="19">
        <v>0</v>
      </c>
      <c r="Y44" s="20" t="str">
        <f t="shared" si="21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15407.039999999999</v>
      </c>
      <c r="H45" s="19">
        <v>25022.799999999999</v>
      </c>
      <c r="I45" s="19">
        <v>116387.31</v>
      </c>
      <c r="J45" s="8">
        <f t="shared" si="18"/>
        <v>0.2149959475822579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8" t="str">
        <f t="shared" si="20"/>
        <v>%</v>
      </c>
      <c r="U45" s="29"/>
      <c r="V45" s="19">
        <v>0</v>
      </c>
      <c r="W45" s="19">
        <v>0</v>
      </c>
      <c r="X45" s="19">
        <v>0</v>
      </c>
      <c r="Y45" s="20" t="str">
        <f t="shared" si="21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15407.039999999999</v>
      </c>
      <c r="AL45" s="23">
        <f t="shared" si="26"/>
        <v>25022.799999999999</v>
      </c>
      <c r="AM45" s="23">
        <f t="shared" si="27"/>
        <v>116387.31</v>
      </c>
      <c r="AN45" s="8">
        <f t="shared" si="24"/>
        <v>0.2149959475822579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8900</v>
      </c>
      <c r="R46" s="19">
        <v>11400</v>
      </c>
      <c r="S46" s="19">
        <v>10731.64</v>
      </c>
      <c r="T46" s="8">
        <f t="shared" si="20"/>
        <v>1.0622793906616324</v>
      </c>
      <c r="U46" s="29"/>
      <c r="V46" s="19">
        <v>0</v>
      </c>
      <c r="W46" s="19">
        <v>0</v>
      </c>
      <c r="X46" s="19">
        <v>0</v>
      </c>
      <c r="Y46" s="20" t="str">
        <f t="shared" si="21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8900</v>
      </c>
      <c r="AL46" s="23">
        <f t="shared" si="26"/>
        <v>11400</v>
      </c>
      <c r="AM46" s="23">
        <f t="shared" si="27"/>
        <v>10731.64</v>
      </c>
      <c r="AN46" s="8">
        <f t="shared" si="24"/>
        <v>1.0622793906616324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23728.32</v>
      </c>
      <c r="H47" s="19">
        <v>65931.22</v>
      </c>
      <c r="I47" s="19">
        <v>368602</v>
      </c>
      <c r="J47" s="8">
        <f t="shared" si="18"/>
        <v>0.17886831867434252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8" t="str">
        <f t="shared" si="20"/>
        <v>%</v>
      </c>
      <c r="U47" s="29"/>
      <c r="V47" s="19">
        <v>0</v>
      </c>
      <c r="W47" s="19">
        <v>0</v>
      </c>
      <c r="X47" s="19">
        <v>0</v>
      </c>
      <c r="Y47" s="20" t="str">
        <f t="shared" si="21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23728.32</v>
      </c>
      <c r="AL47" s="23">
        <f t="shared" si="26"/>
        <v>65931.22</v>
      </c>
      <c r="AM47" s="23">
        <f t="shared" si="27"/>
        <v>368602</v>
      </c>
      <c r="AN47" s="8">
        <f t="shared" si="24"/>
        <v>0.17886831867434252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19">
        <v>0</v>
      </c>
      <c r="M48" s="19">
        <v>0</v>
      </c>
      <c r="N48" s="19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8" t="str">
        <f t="shared" si="20"/>
        <v>%</v>
      </c>
      <c r="U48" s="29"/>
      <c r="V48" s="19">
        <v>0</v>
      </c>
      <c r="W48" s="19">
        <v>0</v>
      </c>
      <c r="X48" s="19">
        <v>0</v>
      </c>
      <c r="Y48" s="20" t="str">
        <f t="shared" si="21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19">
        <v>0</v>
      </c>
      <c r="J49" s="8" t="str">
        <f>IF(I49=0,"%",H49/I49)</f>
        <v>%</v>
      </c>
      <c r="K49" s="29"/>
      <c r="L49" s="19">
        <v>0</v>
      </c>
      <c r="M49" s="19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8" t="str">
        <f t="shared" si="20"/>
        <v>%</v>
      </c>
      <c r="U49" s="29"/>
      <c r="V49" s="19">
        <v>42.66</v>
      </c>
      <c r="W49" s="19">
        <v>10325.1</v>
      </c>
      <c r="X49" s="19">
        <v>0</v>
      </c>
      <c r="Y49" s="20" t="str">
        <f t="shared" si="21"/>
        <v>%</v>
      </c>
      <c r="Z49" s="29"/>
      <c r="AA49" s="23">
        <v>315095.96999999997</v>
      </c>
      <c r="AB49" s="23">
        <v>1421418.85</v>
      </c>
      <c r="AC49" s="23">
        <v>6234500</v>
      </c>
      <c r="AD49" s="8">
        <f t="shared" si="22"/>
        <v>0.22799243724436605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315138.62999999995</v>
      </c>
      <c r="AL49" s="23">
        <f t="shared" si="26"/>
        <v>1431743.9500000002</v>
      </c>
      <c r="AM49" s="23">
        <f t="shared" si="27"/>
        <v>6234500</v>
      </c>
      <c r="AN49" s="8">
        <f t="shared" si="24"/>
        <v>0.22964856042986609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70">
        <f>SUM(G33:G47)</f>
        <v>603292.92000000004</v>
      </c>
      <c r="H50" s="57">
        <f>SUM(H33:H47)</f>
        <v>1453053.33</v>
      </c>
      <c r="I50" s="57">
        <f>SUM(I33:I49)</f>
        <v>6035730.9299999997</v>
      </c>
      <c r="J50" s="31">
        <f>IF(I50=0,"",H50/I50)</f>
        <v>0.2407418996724561</v>
      </c>
      <c r="K50" s="29"/>
      <c r="L50" s="57">
        <f>SUM(L33:L49)</f>
        <v>321071.2699999999</v>
      </c>
      <c r="M50" s="57">
        <f>SUM(M33:M49)</f>
        <v>400800.35999999993</v>
      </c>
      <c r="N50" s="57">
        <f>SUM(N33:N47)</f>
        <v>3621828.0699999994</v>
      </c>
      <c r="O50" s="31">
        <f>IF(N50=0,"",M50/N50)</f>
        <v>0.11066244787262913</v>
      </c>
      <c r="P50" s="29"/>
      <c r="Q50" s="70">
        <f>SUM(Q33:Q47)</f>
        <v>1245608.5699999998</v>
      </c>
      <c r="R50" s="70">
        <f>SUM(R33:R47)</f>
        <v>1722465.8599999999</v>
      </c>
      <c r="S50" s="70">
        <f>SUM(S33:S47)</f>
        <v>3076877.62</v>
      </c>
      <c r="T50" s="31">
        <f>IF(S50=0,"",R50/S50)</f>
        <v>0.5598096748482313</v>
      </c>
      <c r="U50" s="29"/>
      <c r="V50" s="70">
        <f>SUM(V33:V49)</f>
        <v>42.66</v>
      </c>
      <c r="W50" s="70">
        <f>SUM(W33:W49)</f>
        <v>10325.1</v>
      </c>
      <c r="X50" s="70">
        <f>SUM(X33:X49)</f>
        <v>0</v>
      </c>
      <c r="Y50" s="150" t="str">
        <f>IF(X50=0,"",W50/X50)</f>
        <v/>
      </c>
      <c r="Z50" s="29"/>
      <c r="AA50" s="57">
        <f>SUM(AA33:AA49)</f>
        <v>315095.96999999997</v>
      </c>
      <c r="AB50" s="57">
        <f>SUM(AB33:AB49)</f>
        <v>1421418.85</v>
      </c>
      <c r="AC50" s="57">
        <f>SUM(AC33:AC49)</f>
        <v>6234500</v>
      </c>
      <c r="AD50" s="31">
        <f>IF(AC50=0,"",AB50/AC50)</f>
        <v>0.22799243724436605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2485111.3899999997</v>
      </c>
      <c r="AL50" s="57">
        <f>SUM(AL33:AL49)</f>
        <v>5008063.5</v>
      </c>
      <c r="AM50" s="57">
        <f>SUM(AM33:AM49)</f>
        <v>18968936.619999997</v>
      </c>
      <c r="AN50" s="31">
        <f>IF(AM50=0,"",AL50/AM50)</f>
        <v>0.26401392973814475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146">
        <f>G29-G50</f>
        <v>-249675.91000000003</v>
      </c>
      <c r="H51" s="58">
        <f>H29-H50</f>
        <v>-424177.14</v>
      </c>
      <c r="I51" s="58">
        <f>I29-I50</f>
        <v>-2868103.9699999997</v>
      </c>
      <c r="J51" s="31">
        <f>IF(I51=0,"",H51/I51)</f>
        <v>0.14789461764177261</v>
      </c>
      <c r="K51" s="29"/>
      <c r="L51" s="58">
        <f>L29-L50</f>
        <v>88296.720000000147</v>
      </c>
      <c r="M51" s="58">
        <f>M29-M50</f>
        <v>61453.420000000158</v>
      </c>
      <c r="N51" s="58">
        <f>N29-N50</f>
        <v>573171.93000000063</v>
      </c>
      <c r="O51" s="31">
        <f>IF(N51=0,"",M51/N51)</f>
        <v>0.10721638095571095</v>
      </c>
      <c r="P51" s="29"/>
      <c r="Q51" s="58">
        <f>Q29-Q50</f>
        <v>-1245608.5699999998</v>
      </c>
      <c r="R51" s="58">
        <f>R29-R50</f>
        <v>132326.95000000019</v>
      </c>
      <c r="S51" s="58">
        <f>S29-S50</f>
        <v>425436.43999999994</v>
      </c>
      <c r="T51" s="31"/>
      <c r="U51" s="29"/>
      <c r="V51" s="146">
        <f>V29-V50</f>
        <v>0</v>
      </c>
      <c r="W51" s="146">
        <f>W29-W50</f>
        <v>-9565</v>
      </c>
      <c r="X51" s="146">
        <f>X29-X50</f>
        <v>0</v>
      </c>
      <c r="Y51" s="150" t="str">
        <f>IF(X51=0,"",W51/X51)</f>
        <v/>
      </c>
      <c r="Z51" s="29"/>
      <c r="AA51" s="58">
        <f>AA29-AA50</f>
        <v>183331.78000000003</v>
      </c>
      <c r="AB51" s="58">
        <f>AB29-AB50</f>
        <v>-1935.5900000000838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-1223655.9799999997</v>
      </c>
      <c r="AL51" s="58">
        <f>AL29-AL50</f>
        <v>-241897.3599999994</v>
      </c>
      <c r="AM51" s="58">
        <f>AM29-AM50</f>
        <v>-1869495.5999999978</v>
      </c>
      <c r="AN51" s="31">
        <f>IF(AM51=0,"",AL51/AM51)</f>
        <v>0.12939177818872624</v>
      </c>
    </row>
    <row r="52" spans="1:40" x14ac:dyDescent="0.2">
      <c r="A52" s="3"/>
      <c r="B52" s="3"/>
      <c r="C52" s="5"/>
      <c r="D52" s="5"/>
      <c r="E52" s="5"/>
      <c r="F52" s="5"/>
      <c r="G52" s="28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8"/>
      <c r="W52" s="28"/>
      <c r="X52" s="28"/>
      <c r="Y52" s="20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8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8"/>
      <c r="W53" s="28"/>
      <c r="X53" s="28"/>
      <c r="Y53" s="20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224248.97</v>
      </c>
      <c r="H54" s="19">
        <v>679922.17</v>
      </c>
      <c r="I54" s="19">
        <v>2651707.31</v>
      </c>
      <c r="J54" s="8">
        <f>IF(I54=0,"%",H54/I54)</f>
        <v>0.25640920754560959</v>
      </c>
      <c r="K54" s="29"/>
      <c r="L54" s="19">
        <v>0</v>
      </c>
      <c r="M54" s="19">
        <v>0</v>
      </c>
      <c r="N54" s="1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>IF(S54=0,"%",R54/S54)</f>
        <v>%</v>
      </c>
      <c r="U54" s="29"/>
      <c r="V54" s="19">
        <v>0</v>
      </c>
      <c r="W54" s="19">
        <v>0</v>
      </c>
      <c r="X54" s="28">
        <v>0</v>
      </c>
      <c r="Y54" s="20" t="str">
        <f>IF(X54=0,"%",W54/X54)</f>
        <v>%</v>
      </c>
      <c r="Z54" s="29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224248.97</v>
      </c>
      <c r="AL54" s="23">
        <f t="shared" si="28"/>
        <v>679922.17</v>
      </c>
      <c r="AM54" s="23">
        <f t="shared" si="28"/>
        <v>2651707.31</v>
      </c>
      <c r="AN54" s="8">
        <f>IF(AM54=0,"%",AL54/AM54)</f>
        <v>0.25640920754560959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19">
        <v>0</v>
      </c>
      <c r="O55" s="8" t="str">
        <f>IF(N55=0,"%",M55/N55)</f>
        <v>%</v>
      </c>
      <c r="P55" s="29"/>
      <c r="Q55" s="19">
        <v>0</v>
      </c>
      <c r="R55" s="19">
        <v>0</v>
      </c>
      <c r="S55" s="29">
        <v>0</v>
      </c>
      <c r="T55" s="8" t="str">
        <f>IF(S55=0,"%",R55/S55)</f>
        <v>%</v>
      </c>
      <c r="U55" s="29"/>
      <c r="V55" s="19">
        <v>0</v>
      </c>
      <c r="W55" s="19">
        <v>0</v>
      </c>
      <c r="X55" s="28">
        <v>0</v>
      </c>
      <c r="Y55" s="20" t="str">
        <f>IF(X55=0,"%",W55/X55)</f>
        <v>%</v>
      </c>
      <c r="Z55" s="29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0</v>
      </c>
      <c r="AL55" s="23">
        <f t="shared" si="28"/>
        <v>0</v>
      </c>
      <c r="AM55" s="23">
        <f t="shared" si="28"/>
        <v>40000</v>
      </c>
      <c r="AN55" s="8">
        <f>IF(AM55=0,"%",AL55/AM55)</f>
        <v>0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147">
        <f>SUM(G54:G55)</f>
        <v>224248.97</v>
      </c>
      <c r="H56" s="30">
        <f>SUM(H54-H55)</f>
        <v>679922.17</v>
      </c>
      <c r="I56" s="30">
        <f>SUM(I54:I55)</f>
        <v>2691707.31</v>
      </c>
      <c r="J56" s="31">
        <f>IF(I56=0,"",H56/I56)</f>
        <v>0.2525988496126646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0</v>
      </c>
      <c r="R56" s="30">
        <f>R54-R55</f>
        <v>0</v>
      </c>
      <c r="S56" s="30">
        <f>SUM(S54:S55)</f>
        <v>0</v>
      </c>
      <c r="T56" s="31" t="str">
        <f>IF(S56=0,"",R56/S56)</f>
        <v/>
      </c>
      <c r="U56" s="29"/>
      <c r="V56" s="147">
        <f>SUM(V54:V55)</f>
        <v>0</v>
      </c>
      <c r="W56" s="147">
        <f>SUM(W54:W55)</f>
        <v>0</v>
      </c>
      <c r="X56" s="147">
        <f>SUM(X54:X55)</f>
        <v>0</v>
      </c>
      <c r="Y56" s="150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224248.97</v>
      </c>
      <c r="AL56" s="30">
        <f>AL54-AL55</f>
        <v>679922.17</v>
      </c>
      <c r="AM56" s="30">
        <f>SUM(AM54:AM55)</f>
        <v>2691707.31</v>
      </c>
      <c r="AN56" s="31">
        <f>IF(AM56=0,"",AL56/AM56)</f>
        <v>0.2525988496126646</v>
      </c>
    </row>
    <row r="57" spans="1:40" x14ac:dyDescent="0.2">
      <c r="A57" s="3"/>
      <c r="B57" s="3"/>
      <c r="C57" s="5"/>
      <c r="D57" s="5"/>
      <c r="E57" s="5"/>
      <c r="F57" s="5"/>
      <c r="G57" s="28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8"/>
      <c r="W57" s="28"/>
      <c r="X57" s="28"/>
      <c r="Y57" s="20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68"/>
      <c r="H58" s="59">
        <f>H51+H56</f>
        <v>255745.03000000003</v>
      </c>
      <c r="I58" s="59"/>
      <c r="J58" s="60" t="str">
        <f>IF(I58=0,"",H58/I58)</f>
        <v/>
      </c>
      <c r="K58" s="59"/>
      <c r="L58" s="59"/>
      <c r="M58" s="59">
        <f>M29-M50+M56</f>
        <v>61453.420000000158</v>
      </c>
      <c r="N58" s="59">
        <f>N29-N50+N56</f>
        <v>573171.93000000063</v>
      </c>
      <c r="O58" s="59"/>
      <c r="P58" s="59">
        <f>P29-P50+P56</f>
        <v>0</v>
      </c>
      <c r="Q58" s="59"/>
      <c r="R58" s="59">
        <f>R29-R50+R56</f>
        <v>132326.95000000019</v>
      </c>
      <c r="S58" s="59"/>
      <c r="T58" s="59"/>
      <c r="U58" s="59"/>
      <c r="V58" s="68"/>
      <c r="W58" s="68">
        <f>W29-W50+W56</f>
        <v>-9565</v>
      </c>
      <c r="X58" s="68">
        <f>X29-X50+X56</f>
        <v>0</v>
      </c>
      <c r="Y58" s="68"/>
      <c r="Z58" s="59">
        <f>Z29-Z50+Z56</f>
        <v>0</v>
      </c>
      <c r="AA58" s="59"/>
      <c r="AB58" s="59">
        <f>AB29-AB50+AB56</f>
        <v>-1935.5900000000838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438024.81000000064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68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68"/>
      <c r="W59" s="68"/>
      <c r="X59" s="68"/>
      <c r="Y59" s="152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68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68"/>
      <c r="W60" s="68"/>
      <c r="X60" s="68"/>
      <c r="Y60" s="152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70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70">
        <f>SUM(V59:V60)</f>
        <v>0</v>
      </c>
      <c r="W61" s="70">
        <f>SUM(W59:W60)</f>
        <v>0</v>
      </c>
      <c r="X61" s="70">
        <f>SUM(X59:X60)</f>
        <v>0</v>
      </c>
      <c r="Y61" s="153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68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68"/>
      <c r="W62" s="68"/>
      <c r="X62" s="68"/>
      <c r="Y62" s="152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148">
        <f>G61+G58</f>
        <v>0</v>
      </c>
      <c r="H63" s="65">
        <f>H61+H58</f>
        <v>255745.03000000003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61453.420000000158</v>
      </c>
      <c r="N63" s="65">
        <f>N61+N58</f>
        <v>573171.93000000063</v>
      </c>
      <c r="O63" s="63">
        <f>IF(N63=0,"%",M63/N63)</f>
        <v>0.10721638095571095</v>
      </c>
      <c r="P63" s="64"/>
      <c r="Q63" s="65">
        <f>Q61+Q58</f>
        <v>0</v>
      </c>
      <c r="R63" s="65">
        <f>R61+R58</f>
        <v>132326.95000000019</v>
      </c>
      <c r="S63" s="65">
        <f>S61+S58</f>
        <v>0</v>
      </c>
      <c r="T63" s="63" t="str">
        <f>IF(S63=0,"%",R63/S63)</f>
        <v>%</v>
      </c>
      <c r="U63" s="64"/>
      <c r="V63" s="148">
        <f>V61+V58</f>
        <v>0</v>
      </c>
      <c r="W63" s="148">
        <f>W61+W58</f>
        <v>-9565</v>
      </c>
      <c r="X63" s="154">
        <f>X61+X58</f>
        <v>0</v>
      </c>
      <c r="Y63" s="155" t="str">
        <f>IF(X63=0,"%",W63/X63)</f>
        <v>%</v>
      </c>
      <c r="Z63" s="64"/>
      <c r="AA63" s="65">
        <f>AA61+AA58</f>
        <v>0</v>
      </c>
      <c r="AB63" s="65">
        <f>AB61+AB58</f>
        <v>-1935.5900000000838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438024.81000000064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101</v>
      </c>
      <c r="AN64" s="4" t="s">
        <v>102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sheetPr codeName="Sheet9"/>
  <dimension ref="A1:BA60"/>
  <sheetViews>
    <sheetView view="pageBreakPreview" topLeftCell="D1" zoomScale="80" zoomScaleNormal="70" zoomScaleSheetLayoutView="80" workbookViewId="0">
      <selection activeCell="BC46" sqref="BC4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hidden="1" customWidth="1"/>
    <col min="7" max="7" width="17.7109375" style="4" hidden="1" customWidth="1"/>
    <col min="8" max="8" width="17" style="4" hidden="1" customWidth="1"/>
    <col min="9" max="9" width="17.85546875" style="4" hidden="1" customWidth="1"/>
    <col min="10" max="10" width="13.7109375" style="4" hidden="1" customWidth="1"/>
    <col min="11" max="11" width="1.42578125" style="4" hidden="1" customWidth="1"/>
    <col min="12" max="12" width="16.7109375" style="4" hidden="1" customWidth="1"/>
    <col min="13" max="13" width="17" style="4" hidden="1" customWidth="1"/>
    <col min="14" max="14" width="17.85546875" style="4" hidden="1" customWidth="1"/>
    <col min="15" max="15" width="12.140625" style="4" hidden="1" customWidth="1"/>
    <col min="16" max="16" width="1.5703125" style="4" hidden="1" customWidth="1"/>
    <col min="17" max="17" width="16.7109375" style="4" hidden="1" customWidth="1"/>
    <col min="18" max="18" width="17" style="4" hidden="1" customWidth="1"/>
    <col min="19" max="19" width="17.85546875" style="4" hidden="1" customWidth="1"/>
    <col min="20" max="20" width="13.42578125" style="4" hidden="1" customWidth="1"/>
    <col min="21" max="21" width="1.42578125" style="5" hidden="1" customWidth="1"/>
    <col min="22" max="22" width="16.7109375" style="4" hidden="1" customWidth="1"/>
    <col min="23" max="23" width="17" style="4" hidden="1" customWidth="1"/>
    <col min="24" max="24" width="17.85546875" style="4" hidden="1" customWidth="1"/>
    <col min="25" max="25" width="13.42578125" style="4" hidden="1" customWidth="1"/>
    <col min="26" max="26" width="1.5703125" style="4" hidden="1" customWidth="1"/>
    <col min="27" max="27" width="16.7109375" style="4" hidden="1" customWidth="1"/>
    <col min="28" max="28" width="19.140625" style="4" hidden="1" customWidth="1"/>
    <col min="29" max="29" width="18.28515625" style="4" hidden="1" customWidth="1"/>
    <col min="30" max="30" width="13.42578125" style="4" hidden="1" customWidth="1"/>
    <col min="31" max="31" width="1.5703125" style="4" hidden="1" customWidth="1"/>
    <col min="32" max="32" width="16.7109375" style="4" hidden="1" customWidth="1"/>
    <col min="33" max="33" width="19.140625" style="4" hidden="1" customWidth="1"/>
    <col min="34" max="34" width="18.28515625" style="4" hidden="1" customWidth="1"/>
    <col min="35" max="35" width="13.42578125" style="4" hidden="1" customWidth="1"/>
    <col min="36" max="36" width="1.5703125" style="4" hidden="1" customWidth="1"/>
    <col min="37" max="37" width="16.7109375" style="4" hidden="1" customWidth="1"/>
    <col min="38" max="38" width="19.140625" style="4" hidden="1" customWidth="1"/>
    <col min="39" max="39" width="18.28515625" style="4" hidden="1" customWidth="1"/>
    <col min="40" max="40" width="13.42578125" style="4" hidden="1" customWidth="1"/>
    <col min="41" max="41" width="2.28515625" style="4" hidden="1" customWidth="1"/>
    <col min="42" max="42" width="16.7109375" style="4" hidden="1" customWidth="1"/>
    <col min="43" max="43" width="19.140625" style="4" hidden="1" customWidth="1"/>
    <col min="44" max="44" width="18.28515625" style="4" hidden="1" customWidth="1"/>
    <col min="45" max="45" width="13.42578125" style="4" hidden="1" customWidth="1"/>
    <col min="46" max="46" width="2" style="4" hidden="1" customWidth="1"/>
    <col min="47" max="47" width="16.7109375" style="4" hidden="1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25" t="s">
        <v>85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</row>
    <row r="2" spans="1:50" ht="23.25" x14ac:dyDescent="0.35">
      <c r="A2" s="45"/>
      <c r="B2" s="46"/>
      <c r="C2" s="125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</row>
    <row r="3" spans="1:50" ht="23.25" x14ac:dyDescent="0.35">
      <c r="A3" s="45"/>
      <c r="B3" s="46"/>
      <c r="C3" s="125" t="s">
        <v>1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</row>
    <row r="4" spans="1:50" ht="23.25" x14ac:dyDescent="0.35">
      <c r="A4" s="45"/>
      <c r="B4" s="46"/>
      <c r="C4" s="125" t="s">
        <v>104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</row>
    <row r="5" spans="1:50" ht="28.5" customHeight="1" x14ac:dyDescent="0.25">
      <c r="A5" s="45"/>
      <c r="B5" s="4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7"/>
      <c r="AA5" s="76"/>
      <c r="AB5" s="76"/>
      <c r="AC5" s="76"/>
      <c r="AD5" s="76"/>
      <c r="AE5" s="77"/>
      <c r="AF5" s="76"/>
      <c r="AG5" s="76"/>
      <c r="AH5" s="76"/>
      <c r="AI5" s="76"/>
      <c r="AJ5" s="77"/>
      <c r="AK5" s="76"/>
      <c r="AL5" s="76"/>
      <c r="AM5" s="76"/>
      <c r="AN5" s="76"/>
      <c r="AO5" s="77"/>
      <c r="AP5" s="76"/>
      <c r="AQ5" s="76"/>
      <c r="AR5" s="76"/>
      <c r="AS5" s="76"/>
      <c r="AT5" s="77"/>
      <c r="AU5" s="76"/>
      <c r="AV5" s="76"/>
      <c r="AW5" s="76"/>
      <c r="AX5" s="76"/>
    </row>
    <row r="6" spans="1:50" ht="16.5" x14ac:dyDescent="0.25">
      <c r="A6" s="45"/>
      <c r="B6" s="46"/>
      <c r="C6" s="76"/>
      <c r="D6" s="78" t="s">
        <v>2</v>
      </c>
      <c r="E6" s="76">
        <f>'1351'!E6+'1361'!E8+'1401'!E8+'1421'!E8+'1601'!E8+'1621'!E8+'1721'!E8</f>
        <v>5034.93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7"/>
      <c r="AA6" s="76"/>
      <c r="AB6" s="76"/>
      <c r="AC6" s="76"/>
      <c r="AD6" s="76"/>
      <c r="AE6" s="77"/>
      <c r="AF6" s="76"/>
      <c r="AG6" s="76"/>
      <c r="AH6" s="76"/>
      <c r="AI6" s="76"/>
      <c r="AJ6" s="77"/>
      <c r="AK6" s="76"/>
      <c r="AL6" s="76"/>
      <c r="AM6" s="76"/>
      <c r="AN6" s="76"/>
      <c r="AO6" s="77"/>
      <c r="AP6" s="76"/>
      <c r="AQ6" s="76"/>
      <c r="AR6" s="76"/>
      <c r="AS6" s="76"/>
      <c r="AT6" s="77"/>
      <c r="AU6" s="76"/>
      <c r="AV6" s="76"/>
      <c r="AW6" s="76"/>
      <c r="AX6" s="76"/>
    </row>
    <row r="7" spans="1:50" ht="16.5" x14ac:dyDescent="0.25">
      <c r="A7" s="45"/>
      <c r="B7" s="46"/>
      <c r="C7" s="76"/>
      <c r="D7" s="78" t="s">
        <v>3</v>
      </c>
      <c r="E7" s="76">
        <f>E6</f>
        <v>5034.93</v>
      </c>
      <c r="F7" s="76"/>
      <c r="G7" s="79"/>
      <c r="H7" s="80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7"/>
      <c r="AA7" s="76"/>
      <c r="AB7" s="76"/>
      <c r="AC7" s="76"/>
      <c r="AD7" s="76"/>
      <c r="AE7" s="77"/>
      <c r="AF7" s="76"/>
      <c r="AG7" s="76"/>
      <c r="AH7" s="76"/>
      <c r="AI7" s="76"/>
      <c r="AJ7" s="77"/>
      <c r="AK7" s="76"/>
      <c r="AL7" s="76"/>
      <c r="AM7" s="76"/>
      <c r="AN7" s="76"/>
      <c r="AO7" s="77"/>
      <c r="AP7" s="76"/>
      <c r="AQ7" s="76"/>
      <c r="AR7" s="76"/>
      <c r="AS7" s="76"/>
      <c r="AT7" s="77"/>
      <c r="AU7" s="76"/>
      <c r="AV7" s="76"/>
      <c r="AW7" s="76"/>
      <c r="AX7" s="76"/>
    </row>
    <row r="8" spans="1:50" ht="16.5" x14ac:dyDescent="0.25">
      <c r="A8" s="45"/>
      <c r="B8" s="46"/>
      <c r="C8" s="76"/>
      <c r="D8" s="78"/>
      <c r="E8" s="124"/>
      <c r="F8" s="76"/>
      <c r="G8" s="133" t="s">
        <v>86</v>
      </c>
      <c r="H8" s="134"/>
      <c r="I8" s="134"/>
      <c r="J8" s="135"/>
      <c r="K8" s="76"/>
      <c r="L8" s="133" t="s">
        <v>87</v>
      </c>
      <c r="M8" s="134"/>
      <c r="N8" s="134"/>
      <c r="O8" s="135"/>
      <c r="P8" s="76"/>
      <c r="Q8" s="133" t="s">
        <v>88</v>
      </c>
      <c r="R8" s="134"/>
      <c r="S8" s="134"/>
      <c r="T8" s="135"/>
      <c r="U8" s="76"/>
      <c r="V8" s="133" t="s">
        <v>89</v>
      </c>
      <c r="W8" s="134"/>
      <c r="X8" s="134"/>
      <c r="Y8" s="135"/>
      <c r="Z8" s="77"/>
      <c r="AA8" s="133" t="s">
        <v>90</v>
      </c>
      <c r="AB8" s="134"/>
      <c r="AC8" s="134"/>
      <c r="AD8" s="135"/>
      <c r="AE8" s="77"/>
      <c r="AF8" s="133" t="s">
        <v>91</v>
      </c>
      <c r="AG8" s="134"/>
      <c r="AH8" s="134"/>
      <c r="AI8" s="135"/>
      <c r="AJ8" s="77"/>
      <c r="AK8" s="133" t="s">
        <v>92</v>
      </c>
      <c r="AL8" s="134"/>
      <c r="AM8" s="134"/>
      <c r="AN8" s="135"/>
      <c r="AO8" s="77"/>
      <c r="AP8" s="133" t="s">
        <v>93</v>
      </c>
      <c r="AQ8" s="134"/>
      <c r="AR8" s="134"/>
      <c r="AS8" s="135"/>
      <c r="AT8" s="77"/>
      <c r="AU8" s="142" t="s">
        <v>94</v>
      </c>
      <c r="AV8" s="143"/>
      <c r="AW8" s="143"/>
      <c r="AX8" s="144"/>
    </row>
    <row r="9" spans="1:50" ht="16.5" x14ac:dyDescent="0.25">
      <c r="A9" s="45"/>
      <c r="B9" s="46"/>
      <c r="C9" s="76"/>
      <c r="D9" s="78"/>
      <c r="E9" s="124"/>
      <c r="F9" s="78"/>
      <c r="G9" s="136"/>
      <c r="H9" s="137"/>
      <c r="I9" s="137"/>
      <c r="J9" s="138"/>
      <c r="K9" s="80"/>
      <c r="L9" s="136"/>
      <c r="M9" s="137"/>
      <c r="N9" s="137"/>
      <c r="O9" s="138"/>
      <c r="P9" s="80"/>
      <c r="Q9" s="136"/>
      <c r="R9" s="137"/>
      <c r="S9" s="137"/>
      <c r="T9" s="138"/>
      <c r="U9" s="76"/>
      <c r="V9" s="136"/>
      <c r="W9" s="137"/>
      <c r="X9" s="137"/>
      <c r="Y9" s="138"/>
      <c r="Z9" s="77"/>
      <c r="AA9" s="136"/>
      <c r="AB9" s="137"/>
      <c r="AC9" s="137"/>
      <c r="AD9" s="138"/>
      <c r="AE9" s="77"/>
      <c r="AF9" s="136"/>
      <c r="AG9" s="137"/>
      <c r="AH9" s="137"/>
      <c r="AI9" s="138"/>
      <c r="AJ9" s="77"/>
      <c r="AK9" s="136"/>
      <c r="AL9" s="137"/>
      <c r="AM9" s="137"/>
      <c r="AN9" s="138"/>
      <c r="AO9" s="77"/>
      <c r="AP9" s="136"/>
      <c r="AQ9" s="137"/>
      <c r="AR9" s="137"/>
      <c r="AS9" s="138"/>
      <c r="AT9" s="77"/>
      <c r="AU9" s="139" t="s">
        <v>97</v>
      </c>
      <c r="AV9" s="140"/>
      <c r="AW9" s="140"/>
      <c r="AX9" s="141"/>
    </row>
    <row r="10" spans="1:50" s="2" customFormat="1" ht="66" x14ac:dyDescent="0.25">
      <c r="A10" s="47"/>
      <c r="B10" s="48"/>
      <c r="C10" s="81"/>
      <c r="D10" s="82"/>
      <c r="E10" s="83" t="s">
        <v>10</v>
      </c>
      <c r="F10" s="82"/>
      <c r="G10" s="84" t="s">
        <v>11</v>
      </c>
      <c r="H10" s="83" t="s">
        <v>12</v>
      </c>
      <c r="I10" s="83" t="s">
        <v>13</v>
      </c>
      <c r="J10" s="83" t="s">
        <v>14</v>
      </c>
      <c r="K10" s="85"/>
      <c r="L10" s="86" t="s">
        <v>11</v>
      </c>
      <c r="M10" s="86" t="s">
        <v>12</v>
      </c>
      <c r="N10" s="86" t="s">
        <v>13</v>
      </c>
      <c r="O10" s="86" t="s">
        <v>14</v>
      </c>
      <c r="P10" s="85"/>
      <c r="Q10" s="86" t="s">
        <v>11</v>
      </c>
      <c r="R10" s="86" t="s">
        <v>12</v>
      </c>
      <c r="S10" s="86" t="s">
        <v>13</v>
      </c>
      <c r="T10" s="86" t="s">
        <v>14</v>
      </c>
      <c r="U10" s="82"/>
      <c r="V10" s="86" t="s">
        <v>11</v>
      </c>
      <c r="W10" s="86" t="s">
        <v>12</v>
      </c>
      <c r="X10" s="86" t="s">
        <v>13</v>
      </c>
      <c r="Y10" s="86" t="s">
        <v>14</v>
      </c>
      <c r="Z10" s="87"/>
      <c r="AA10" s="86" t="s">
        <v>11</v>
      </c>
      <c r="AB10" s="86" t="s">
        <v>12</v>
      </c>
      <c r="AC10" s="86" t="s">
        <v>13</v>
      </c>
      <c r="AD10" s="86" t="s">
        <v>14</v>
      </c>
      <c r="AE10" s="87"/>
      <c r="AF10" s="86" t="s">
        <v>11</v>
      </c>
      <c r="AG10" s="86" t="s">
        <v>12</v>
      </c>
      <c r="AH10" s="86" t="s">
        <v>13</v>
      </c>
      <c r="AI10" s="86" t="s">
        <v>14</v>
      </c>
      <c r="AJ10" s="87"/>
      <c r="AK10" s="86" t="s">
        <v>11</v>
      </c>
      <c r="AL10" s="86" t="s">
        <v>12</v>
      </c>
      <c r="AM10" s="86" t="s">
        <v>13</v>
      </c>
      <c r="AN10" s="86" t="s">
        <v>14</v>
      </c>
      <c r="AO10" s="87"/>
      <c r="AP10" s="86" t="s">
        <v>11</v>
      </c>
      <c r="AQ10" s="86" t="s">
        <v>12</v>
      </c>
      <c r="AR10" s="86" t="s">
        <v>13</v>
      </c>
      <c r="AS10" s="86" t="s">
        <v>14</v>
      </c>
      <c r="AT10" s="87"/>
      <c r="AU10" s="86" t="s">
        <v>11</v>
      </c>
      <c r="AV10" s="116" t="s">
        <v>12</v>
      </c>
      <c r="AW10" s="116" t="s">
        <v>13</v>
      </c>
      <c r="AX10" s="116" t="s">
        <v>14</v>
      </c>
    </row>
    <row r="11" spans="1:50" ht="16.5" x14ac:dyDescent="0.25">
      <c r="A11" s="45"/>
      <c r="B11" s="4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7"/>
      <c r="AA11" s="76"/>
      <c r="AB11" s="76"/>
      <c r="AC11" s="76"/>
      <c r="AD11" s="76"/>
      <c r="AE11" s="77"/>
      <c r="AF11" s="76"/>
      <c r="AG11" s="76"/>
      <c r="AH11" s="76"/>
      <c r="AI11" s="76"/>
      <c r="AJ11" s="77"/>
      <c r="AK11" s="76"/>
      <c r="AL11" s="76"/>
      <c r="AM11" s="76"/>
      <c r="AN11" s="76"/>
      <c r="AO11" s="77"/>
      <c r="AP11" s="76"/>
      <c r="AQ11" s="76"/>
      <c r="AR11" s="76"/>
      <c r="AS11" s="76"/>
      <c r="AT11" s="77"/>
      <c r="AU11" s="76"/>
      <c r="AV11" s="89"/>
      <c r="AW11" s="89"/>
      <c r="AX11" s="89"/>
    </row>
    <row r="12" spans="1:50" ht="16.5" x14ac:dyDescent="0.25">
      <c r="A12" s="49"/>
      <c r="B12" s="46"/>
      <c r="C12" s="80" t="s">
        <v>15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7"/>
      <c r="AA12" s="76"/>
      <c r="AB12" s="76"/>
      <c r="AC12" s="76"/>
      <c r="AD12" s="76"/>
      <c r="AE12" s="77"/>
      <c r="AF12" s="76"/>
      <c r="AG12" s="76"/>
      <c r="AH12" s="76"/>
      <c r="AI12" s="76"/>
      <c r="AJ12" s="77"/>
      <c r="AK12" s="76"/>
      <c r="AL12" s="76"/>
      <c r="AM12" s="76"/>
      <c r="AN12" s="76"/>
      <c r="AO12" s="77"/>
      <c r="AP12" s="76"/>
      <c r="AQ12" s="76"/>
      <c r="AR12" s="76"/>
      <c r="AS12" s="76"/>
      <c r="AT12" s="77"/>
      <c r="AU12" s="76"/>
      <c r="AV12" s="89"/>
      <c r="AW12" s="89"/>
      <c r="AX12" s="89"/>
    </row>
    <row r="13" spans="1:50" ht="16.5" x14ac:dyDescent="0.25">
      <c r="A13" s="49" t="str">
        <f>$C$12</f>
        <v>Revenues</v>
      </c>
      <c r="B13" s="15" t="s">
        <v>16</v>
      </c>
      <c r="C13" s="80" t="s">
        <v>17</v>
      </c>
      <c r="D13" s="88" t="s">
        <v>16</v>
      </c>
      <c r="E13" s="78"/>
      <c r="F13" s="76"/>
      <c r="G13" s="89"/>
      <c r="H13" s="89"/>
      <c r="I13" s="89"/>
      <c r="J13" s="89"/>
      <c r="K13" s="89"/>
      <c r="L13" s="89"/>
      <c r="M13" s="89"/>
      <c r="N13" s="89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7"/>
      <c r="AA13" s="76"/>
      <c r="AB13" s="76"/>
      <c r="AC13" s="76"/>
      <c r="AD13" s="76"/>
      <c r="AE13" s="77"/>
      <c r="AF13" s="76"/>
      <c r="AG13" s="76"/>
      <c r="AH13" s="76"/>
      <c r="AI13" s="76"/>
      <c r="AJ13" s="77"/>
      <c r="AK13" s="76"/>
      <c r="AL13" s="76"/>
      <c r="AM13" s="76"/>
      <c r="AN13" s="76"/>
      <c r="AO13" s="77"/>
      <c r="AP13" s="76"/>
      <c r="AQ13" s="76"/>
      <c r="AR13" s="76"/>
      <c r="AS13" s="76"/>
      <c r="AT13" s="77"/>
      <c r="AU13" s="76"/>
      <c r="AV13" s="89"/>
      <c r="AW13" s="89"/>
      <c r="AX13" s="89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0" t="s">
        <v>17</v>
      </c>
      <c r="D14" s="88" t="s">
        <v>18</v>
      </c>
      <c r="E14" s="90">
        <v>3100</v>
      </c>
      <c r="F14" s="76"/>
      <c r="G14" s="91">
        <v>0</v>
      </c>
      <c r="H14" s="91">
        <f>'1351'!H14</f>
        <v>966795.04</v>
      </c>
      <c r="I14" s="91">
        <f>'1351'!I14</f>
        <v>3697307</v>
      </c>
      <c r="J14" s="92" t="s">
        <v>95</v>
      </c>
      <c r="K14" s="93"/>
      <c r="L14" s="91">
        <v>0</v>
      </c>
      <c r="M14" s="91">
        <f>'1361'!H16</f>
        <v>0</v>
      </c>
      <c r="N14" s="91">
        <f>'1361'!I16</f>
        <v>0</v>
      </c>
      <c r="O14" s="79" t="str">
        <f>IF(N14=0,"%",M14/N14)</f>
        <v>%</v>
      </c>
      <c r="P14" s="94"/>
      <c r="Q14" s="95" t="e">
        <f>G14+L14+#REF!</f>
        <v>#REF!</v>
      </c>
      <c r="R14" s="91">
        <f>'1401'!H16</f>
        <v>0</v>
      </c>
      <c r="S14" s="91">
        <f>'1401'!I16</f>
        <v>0</v>
      </c>
      <c r="T14" s="79" t="str">
        <f>IF(S14=0,"%",R14/S14)</f>
        <v>%</v>
      </c>
      <c r="U14" s="76"/>
      <c r="V14" s="95" t="e">
        <f>L14+#REF!+Q14</f>
        <v>#REF!</v>
      </c>
      <c r="W14" s="91">
        <f>'1421'!H16</f>
        <v>0</v>
      </c>
      <c r="X14" s="91">
        <f>'1421'!I16</f>
        <v>0</v>
      </c>
      <c r="Y14" s="79" t="str">
        <f>IF(X14=0,"%",W14/X14)</f>
        <v>%</v>
      </c>
      <c r="Z14" s="77"/>
      <c r="AA14" s="95" t="e">
        <f>#REF!+Q14+V14</f>
        <v>#REF!</v>
      </c>
      <c r="AB14" s="91">
        <f>'1601'!H16</f>
        <v>0</v>
      </c>
      <c r="AC14" s="91">
        <f>'1601'!I16</f>
        <v>0</v>
      </c>
      <c r="AD14" s="79" t="str">
        <f>IF(AC14=0,"%",AB14/AC14)</f>
        <v>%</v>
      </c>
      <c r="AE14" s="77"/>
      <c r="AF14" s="91">
        <v>0</v>
      </c>
      <c r="AG14" s="91">
        <f>'1621'!H16</f>
        <v>0</v>
      </c>
      <c r="AH14" s="95">
        <f>'1621'!I16</f>
        <v>0</v>
      </c>
      <c r="AI14" s="79" t="str">
        <f>IF(AH14=0,"%",AG14/AH14)</f>
        <v>%</v>
      </c>
      <c r="AJ14" s="77"/>
      <c r="AK14" s="95" t="e">
        <f>V14+AA14+AF14</f>
        <v>#REF!</v>
      </c>
      <c r="AL14" s="95">
        <f>'1721'!H16</f>
        <v>0</v>
      </c>
      <c r="AM14" s="95">
        <f>'1721'!I16</f>
        <v>0</v>
      </c>
      <c r="AN14" s="79" t="str">
        <f>IF(AM14=0,"%",AL14/AM14)</f>
        <v>%</v>
      </c>
      <c r="AO14" s="77"/>
      <c r="AP14" s="95" t="e">
        <f>AA14+AF14+AK14</f>
        <v>#REF!</v>
      </c>
      <c r="AQ14" s="95">
        <f>'9000'!H13</f>
        <v>0</v>
      </c>
      <c r="AR14" s="95">
        <f>'9000'!I13</f>
        <v>0</v>
      </c>
      <c r="AS14" s="79" t="str">
        <f>IF(AR14=0,"%",AQ14/AR14)</f>
        <v>%</v>
      </c>
      <c r="AT14" s="77"/>
      <c r="AU14" s="95" t="e">
        <f>AF14+AK14+AP14</f>
        <v>#REF!</v>
      </c>
      <c r="AV14" s="91">
        <f>H14+M14+R14+W14+AB14+AG14+AL14+AQ14</f>
        <v>966795.04</v>
      </c>
      <c r="AW14" s="91">
        <f>I14+N14+S14+X14+AC14+AH14+AM14+AR14</f>
        <v>3697307</v>
      </c>
      <c r="AX14" s="92">
        <f>IF(AW14=0,"%",AV14/AW14)</f>
        <v>0.26148627636276889</v>
      </c>
    </row>
    <row r="15" spans="1:50" ht="16.5" x14ac:dyDescent="0.25">
      <c r="A15" s="49" t="str">
        <f t="shared" si="0"/>
        <v>Revenues</v>
      </c>
      <c r="B15" s="15" t="s">
        <v>16</v>
      </c>
      <c r="C15" s="80" t="s">
        <v>17</v>
      </c>
      <c r="D15" s="88" t="s">
        <v>19</v>
      </c>
      <c r="E15" s="96">
        <v>3200</v>
      </c>
      <c r="F15" s="76"/>
      <c r="G15" s="91">
        <v>0</v>
      </c>
      <c r="H15" s="91">
        <f>'1351'!H15</f>
        <v>0</v>
      </c>
      <c r="I15" s="91">
        <f>'1351'!I15</f>
        <v>0</v>
      </c>
      <c r="J15" s="92" t="s">
        <v>95</v>
      </c>
      <c r="K15" s="97"/>
      <c r="L15" s="91">
        <v>0</v>
      </c>
      <c r="M15" s="91">
        <f>'1361'!H17</f>
        <v>0</v>
      </c>
      <c r="N15" s="91">
        <f>'1361'!I17</f>
        <v>0</v>
      </c>
      <c r="O15" s="79" t="str">
        <f>IF(N15=0,"%",M15/N15)</f>
        <v>%</v>
      </c>
      <c r="P15" s="98"/>
      <c r="Q15" s="95" t="e">
        <f>G15+L15+#REF!</f>
        <v>#REF!</v>
      </c>
      <c r="R15" s="91">
        <f>'1401'!H17</f>
        <v>0</v>
      </c>
      <c r="S15" s="91">
        <f>'1401'!I17</f>
        <v>0</v>
      </c>
      <c r="T15" s="79" t="str">
        <f>IF(S15=0,"%",R15/S15)</f>
        <v>%</v>
      </c>
      <c r="U15" s="76"/>
      <c r="V15" s="95" t="e">
        <f>L15+#REF!+Q15</f>
        <v>#REF!</v>
      </c>
      <c r="W15" s="91">
        <f>'1421'!H17</f>
        <v>0</v>
      </c>
      <c r="X15" s="91">
        <f>'1421'!I17</f>
        <v>0</v>
      </c>
      <c r="Y15" s="79" t="str">
        <f>IF(X15=0,"%",W15/X15)</f>
        <v>%</v>
      </c>
      <c r="Z15" s="77"/>
      <c r="AA15" s="95" t="e">
        <f>#REF!+Q15+V15</f>
        <v>#REF!</v>
      </c>
      <c r="AB15" s="91">
        <f>'1601'!H17</f>
        <v>0</v>
      </c>
      <c r="AC15" s="91">
        <f>'1601'!I17</f>
        <v>0</v>
      </c>
      <c r="AD15" s="79" t="str">
        <f>IF(AC15=0,"%",AB15/AC15)</f>
        <v>%</v>
      </c>
      <c r="AE15" s="77"/>
      <c r="AF15" s="91">
        <v>0</v>
      </c>
      <c r="AG15" s="91">
        <f>'1621'!H17</f>
        <v>0</v>
      </c>
      <c r="AH15" s="95">
        <f>'1621'!I17</f>
        <v>0</v>
      </c>
      <c r="AI15" s="79" t="str">
        <f>IF(AH15=0,"%",AG15/AH15)</f>
        <v>%</v>
      </c>
      <c r="AJ15" s="77"/>
      <c r="AK15" s="95" t="e">
        <f>V15+AA15+AF15</f>
        <v>#REF!</v>
      </c>
      <c r="AL15" s="95">
        <f>'1721'!H17</f>
        <v>0</v>
      </c>
      <c r="AM15" s="95">
        <f>'1721'!I17</f>
        <v>0</v>
      </c>
      <c r="AN15" s="79" t="str">
        <f>IF(AM15=0,"%",AL15/AM15)</f>
        <v>%</v>
      </c>
      <c r="AO15" s="77"/>
      <c r="AP15" s="95" t="e">
        <f>AA15+AF15+AK15</f>
        <v>#REF!</v>
      </c>
      <c r="AQ15" s="95">
        <f>'9000'!H14</f>
        <v>0</v>
      </c>
      <c r="AR15" s="95">
        <f>'9000'!I14</f>
        <v>0</v>
      </c>
      <c r="AS15" s="79" t="str">
        <f>IF(AR15=0,"%",AQ15/AR15)</f>
        <v>%</v>
      </c>
      <c r="AT15" s="77"/>
      <c r="AU15" s="95" t="e">
        <f>AF15+AK15+AP15</f>
        <v>#REF!</v>
      </c>
      <c r="AV15" s="91">
        <f t="shared" ref="AV15:AV29" si="1">H15+M15+R15+W15+AB15+AG15+AL15+AQ15</f>
        <v>0</v>
      </c>
      <c r="AW15" s="91">
        <f t="shared" ref="AW15:AW29" si="2">I15+N15+S15+X15+AC15+AH15+AM15+AR15</f>
        <v>0</v>
      </c>
      <c r="AX15" s="92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0" t="s">
        <v>17</v>
      </c>
      <c r="D16" s="88" t="s">
        <v>20</v>
      </c>
      <c r="E16" s="90"/>
      <c r="F16" s="76"/>
      <c r="G16" s="91"/>
      <c r="H16" s="91"/>
      <c r="I16" s="91"/>
      <c r="J16" s="92"/>
      <c r="K16" s="89"/>
      <c r="L16" s="91"/>
      <c r="M16" s="91"/>
      <c r="N16" s="91"/>
      <c r="O16" s="79"/>
      <c r="P16" s="76"/>
      <c r="Q16" s="95"/>
      <c r="R16" s="91"/>
      <c r="S16" s="91"/>
      <c r="T16" s="79"/>
      <c r="U16" s="76"/>
      <c r="V16" s="95"/>
      <c r="W16" s="91"/>
      <c r="X16" s="91"/>
      <c r="Y16" s="79"/>
      <c r="Z16" s="77"/>
      <c r="AA16" s="95"/>
      <c r="AB16" s="91"/>
      <c r="AC16" s="91"/>
      <c r="AD16" s="79"/>
      <c r="AE16" s="77"/>
      <c r="AF16" s="95"/>
      <c r="AG16" s="91"/>
      <c r="AH16" s="95"/>
      <c r="AI16" s="79"/>
      <c r="AJ16" s="77"/>
      <c r="AK16" s="95"/>
      <c r="AL16" s="95"/>
      <c r="AM16" s="95"/>
      <c r="AN16" s="79"/>
      <c r="AO16" s="77"/>
      <c r="AP16" s="95"/>
      <c r="AQ16" s="95"/>
      <c r="AR16" s="95"/>
      <c r="AS16" s="79"/>
      <c r="AT16" s="77"/>
      <c r="AU16" s="95"/>
      <c r="AV16" s="91">
        <f t="shared" si="1"/>
        <v>0</v>
      </c>
      <c r="AW16" s="91">
        <f t="shared" si="2"/>
        <v>0</v>
      </c>
      <c r="AX16" s="92"/>
    </row>
    <row r="17" spans="1:50" ht="16.5" x14ac:dyDescent="0.25">
      <c r="A17" s="49" t="str">
        <f t="shared" si="0"/>
        <v>Revenues</v>
      </c>
      <c r="B17" s="15" t="s">
        <v>20</v>
      </c>
      <c r="C17" s="80" t="s">
        <v>17</v>
      </c>
      <c r="D17" s="88" t="s">
        <v>21</v>
      </c>
      <c r="E17" s="90">
        <v>3310</v>
      </c>
      <c r="F17" s="76"/>
      <c r="G17" s="91">
        <v>336118.82</v>
      </c>
      <c r="H17" s="91">
        <f>'1351'!H17</f>
        <v>0</v>
      </c>
      <c r="I17" s="91">
        <f>'1351'!I17</f>
        <v>0</v>
      </c>
      <c r="J17" s="92">
        <v>9.0909091400849323E-2</v>
      </c>
      <c r="K17" s="97"/>
      <c r="L17" s="91">
        <v>0</v>
      </c>
      <c r="M17" s="91">
        <f>'1361'!H19</f>
        <v>1227805.0900000001</v>
      </c>
      <c r="N17" s="91">
        <f>'1361'!I19</f>
        <v>4509675</v>
      </c>
      <c r="O17" s="79">
        <f t="shared" ref="O17:O22" si="3">IF(N17=0,"%",M17/N17)</f>
        <v>0.27226021609096002</v>
      </c>
      <c r="P17" s="98"/>
      <c r="Q17" s="95" t="e">
        <f>G17+L17+#REF!</f>
        <v>#REF!</v>
      </c>
      <c r="R17" s="91">
        <f>'1401'!H19</f>
        <v>777945.29</v>
      </c>
      <c r="S17" s="91">
        <f>'1401'!I19</f>
        <v>3229207</v>
      </c>
      <c r="T17" s="79">
        <f t="shared" ref="T17:T22" si="4">IF(S17=0,"%",R17/S17)</f>
        <v>0.24090908077432013</v>
      </c>
      <c r="U17" s="76"/>
      <c r="V17" s="95" t="e">
        <f>L17+#REF!+Q17</f>
        <v>#REF!</v>
      </c>
      <c r="W17" s="91">
        <f>'1421'!H19</f>
        <v>841317.98</v>
      </c>
      <c r="X17" s="91">
        <f>'1421'!I19</f>
        <v>3220704</v>
      </c>
      <c r="Y17" s="79">
        <f t="shared" ref="Y17:Y22" si="5">IF(X17=0,"%",W17/X17)</f>
        <v>0.26122176393732549</v>
      </c>
      <c r="Z17" s="77"/>
      <c r="AA17" s="95" t="e">
        <f>#REF!+Q17+V17</f>
        <v>#REF!</v>
      </c>
      <c r="AB17" s="91">
        <f>'1601'!H19</f>
        <v>1066067.79</v>
      </c>
      <c r="AC17" s="91">
        <f>'1601'!I19</f>
        <v>4095784</v>
      </c>
      <c r="AD17" s="79">
        <f t="shared" ref="AD17:AD22" si="6">IF(AC17=0,"%",AB17/AC17)</f>
        <v>0.26028418246665352</v>
      </c>
      <c r="AE17" s="77"/>
      <c r="AF17" s="91">
        <v>0</v>
      </c>
      <c r="AG17" s="91">
        <f>'1621'!H19</f>
        <v>1094613.3500000001</v>
      </c>
      <c r="AH17" s="95">
        <f>'1621'!I19</f>
        <v>4757900</v>
      </c>
      <c r="AI17" s="79">
        <f t="shared" ref="AI17:AI22" si="7">IF(AH17=0,"%",AG17/AH17)</f>
        <v>0.23006228588242714</v>
      </c>
      <c r="AJ17" s="77"/>
      <c r="AK17" s="95" t="e">
        <f t="shared" ref="AK17:AK22" si="8">V17+AA17+AF17</f>
        <v>#REF!</v>
      </c>
      <c r="AL17" s="95">
        <f>'1721'!H19</f>
        <v>2652573.2599999998</v>
      </c>
      <c r="AM17" s="95">
        <f>'1721'!I19</f>
        <v>10170242</v>
      </c>
      <c r="AN17" s="79">
        <f t="shared" ref="AN17:AN22" si="9">IF(AM17=0,"%",AL17/AM17)</f>
        <v>0.26081712313236988</v>
      </c>
      <c r="AO17" s="77"/>
      <c r="AP17" s="95" t="e">
        <f t="shared" ref="AP17:AP22" si="10">AA17+AF17+AK17</f>
        <v>#REF!</v>
      </c>
      <c r="AQ17" s="95">
        <f>'9000'!H16</f>
        <v>0</v>
      </c>
      <c r="AR17" s="95">
        <f>'9000'!I16</f>
        <v>251853</v>
      </c>
      <c r="AS17" s="79">
        <f t="shared" ref="AS17:AS22" si="11">IF(AR17=0,"%",AQ17/AR17)</f>
        <v>0</v>
      </c>
      <c r="AT17" s="77"/>
      <c r="AU17" s="95" t="e">
        <f t="shared" ref="AU17:AU22" si="12">AF17+AK17+AP17</f>
        <v>#REF!</v>
      </c>
      <c r="AV17" s="91">
        <f t="shared" si="1"/>
        <v>7660322.7599999998</v>
      </c>
      <c r="AW17" s="91">
        <f t="shared" si="2"/>
        <v>30235365</v>
      </c>
      <c r="AX17" s="92">
        <f t="shared" ref="AX17:AX22" si="13">IF(AW17=0,"%",AV17/AW17)</f>
        <v>0.25335638448551884</v>
      </c>
    </row>
    <row r="18" spans="1:50" ht="16.5" x14ac:dyDescent="0.25">
      <c r="A18" s="49" t="str">
        <f t="shared" si="0"/>
        <v>Revenues</v>
      </c>
      <c r="B18" s="15" t="s">
        <v>20</v>
      </c>
      <c r="C18" s="80" t="s">
        <v>17</v>
      </c>
      <c r="D18" s="88" t="s">
        <v>22</v>
      </c>
      <c r="E18" s="90">
        <v>3397</v>
      </c>
      <c r="F18" s="76"/>
      <c r="G18" s="91">
        <v>0</v>
      </c>
      <c r="H18" s="91">
        <f>'1351'!H18</f>
        <v>0</v>
      </c>
      <c r="I18" s="91">
        <f>'1351'!I18</f>
        <v>0</v>
      </c>
      <c r="J18" s="92" t="s">
        <v>95</v>
      </c>
      <c r="K18" s="97"/>
      <c r="L18" s="91">
        <v>0</v>
      </c>
      <c r="M18" s="91">
        <f>'1361'!H20</f>
        <v>0</v>
      </c>
      <c r="N18" s="91">
        <f>'1361'!I20</f>
        <v>0</v>
      </c>
      <c r="O18" s="79" t="str">
        <f t="shared" si="3"/>
        <v>%</v>
      </c>
      <c r="P18" s="98"/>
      <c r="Q18" s="95" t="e">
        <f>G18+L18+#REF!</f>
        <v>#REF!</v>
      </c>
      <c r="R18" s="91">
        <f>'1401'!H20</f>
        <v>0</v>
      </c>
      <c r="S18" s="91">
        <f>'1401'!I20</f>
        <v>0</v>
      </c>
      <c r="T18" s="79" t="str">
        <f t="shared" si="4"/>
        <v>%</v>
      </c>
      <c r="U18" s="76"/>
      <c r="V18" s="95" t="e">
        <f>L18+#REF!+Q18</f>
        <v>#REF!</v>
      </c>
      <c r="W18" s="91">
        <f>'1421'!H20</f>
        <v>0</v>
      </c>
      <c r="X18" s="91">
        <f>'1421'!I20</f>
        <v>0</v>
      </c>
      <c r="Y18" s="79" t="str">
        <f t="shared" si="5"/>
        <v>%</v>
      </c>
      <c r="Z18" s="77"/>
      <c r="AA18" s="95" t="e">
        <f>#REF!+Q18+V18</f>
        <v>#REF!</v>
      </c>
      <c r="AB18" s="91">
        <f>'1601'!H20</f>
        <v>0</v>
      </c>
      <c r="AC18" s="91">
        <f>'1601'!I20</f>
        <v>0</v>
      </c>
      <c r="AD18" s="79" t="str">
        <f t="shared" si="6"/>
        <v>%</v>
      </c>
      <c r="AE18" s="77"/>
      <c r="AF18" s="91">
        <v>0</v>
      </c>
      <c r="AG18" s="91">
        <f>'1621'!H20</f>
        <v>0</v>
      </c>
      <c r="AH18" s="95">
        <f>'1621'!I20</f>
        <v>0</v>
      </c>
      <c r="AI18" s="79" t="str">
        <f t="shared" si="7"/>
        <v>%</v>
      </c>
      <c r="AJ18" s="77"/>
      <c r="AK18" s="95" t="e">
        <f t="shared" si="8"/>
        <v>#REF!</v>
      </c>
      <c r="AL18" s="95">
        <f>'1721'!H20</f>
        <v>0</v>
      </c>
      <c r="AM18" s="95">
        <f>'1721'!I20</f>
        <v>0</v>
      </c>
      <c r="AN18" s="79" t="str">
        <f t="shared" si="9"/>
        <v>%</v>
      </c>
      <c r="AO18" s="77"/>
      <c r="AP18" s="95" t="e">
        <f t="shared" si="10"/>
        <v>#REF!</v>
      </c>
      <c r="AQ18" s="95">
        <f>'9000'!H17</f>
        <v>0</v>
      </c>
      <c r="AR18" s="95">
        <f>'9000'!I17</f>
        <v>0</v>
      </c>
      <c r="AS18" s="79" t="str">
        <f t="shared" si="11"/>
        <v>%</v>
      </c>
      <c r="AT18" s="77"/>
      <c r="AU18" s="95" t="e">
        <f t="shared" si="12"/>
        <v>#REF!</v>
      </c>
      <c r="AV18" s="91">
        <f t="shared" si="1"/>
        <v>0</v>
      </c>
      <c r="AW18" s="91">
        <f t="shared" si="2"/>
        <v>0</v>
      </c>
      <c r="AX18" s="92" t="str">
        <f t="shared" si="13"/>
        <v>%</v>
      </c>
    </row>
    <row r="19" spans="1:50" ht="16.5" x14ac:dyDescent="0.25">
      <c r="A19" s="49"/>
      <c r="B19" s="15"/>
      <c r="C19" s="80"/>
      <c r="D19" s="88" t="s">
        <v>63</v>
      </c>
      <c r="E19" s="90">
        <v>3354</v>
      </c>
      <c r="F19" s="76"/>
      <c r="G19" s="91">
        <v>5704.36</v>
      </c>
      <c r="H19" s="91">
        <f>'1351'!H19</f>
        <v>17113.080000000002</v>
      </c>
      <c r="I19" s="91">
        <f>'1351'!I19</f>
        <v>62748</v>
      </c>
      <c r="J19" s="92">
        <v>9.090903295722573E-2</v>
      </c>
      <c r="K19" s="97"/>
      <c r="L19" s="91">
        <v>0</v>
      </c>
      <c r="M19" s="91">
        <f>'1361'!H21</f>
        <v>16771.349999999999</v>
      </c>
      <c r="N19" s="91">
        <f>'1361'!I21</f>
        <v>61495</v>
      </c>
      <c r="O19" s="79">
        <f t="shared" si="3"/>
        <v>0.27272705097975442</v>
      </c>
      <c r="P19" s="98"/>
      <c r="Q19" s="95" t="e">
        <f>G19+L19+#REF!</f>
        <v>#REF!</v>
      </c>
      <c r="R19" s="91">
        <f>'1401'!H21</f>
        <v>28075.08</v>
      </c>
      <c r="S19" s="91">
        <f>'1401'!I21</f>
        <v>102942</v>
      </c>
      <c r="T19" s="79">
        <f t="shared" si="4"/>
        <v>0.27272716675409453</v>
      </c>
      <c r="U19" s="76"/>
      <c r="V19" s="95" t="e">
        <f>L19+#REF!+Q19</f>
        <v>#REF!</v>
      </c>
      <c r="W19" s="91">
        <f>'1421'!H21</f>
        <v>15106.65</v>
      </c>
      <c r="X19" s="91">
        <f>'1421'!I21</f>
        <v>55391</v>
      </c>
      <c r="Y19" s="79">
        <f t="shared" si="5"/>
        <v>0.27272751891101443</v>
      </c>
      <c r="Z19" s="77"/>
      <c r="AA19" s="95" t="e">
        <f>#REF!+Q19+V19</f>
        <v>#REF!</v>
      </c>
      <c r="AB19" s="91">
        <f>'1601'!H21</f>
        <v>60556.35</v>
      </c>
      <c r="AC19" s="91">
        <f>'1601'!I21</f>
        <v>222040</v>
      </c>
      <c r="AD19" s="79">
        <f t="shared" si="6"/>
        <v>0.27272721131327687</v>
      </c>
      <c r="AE19" s="77"/>
      <c r="AF19" s="91">
        <v>0</v>
      </c>
      <c r="AG19" s="91">
        <f>'1621'!H21</f>
        <v>53425.919999999998</v>
      </c>
      <c r="AH19" s="95">
        <f>'1621'!I21</f>
        <v>195895</v>
      </c>
      <c r="AI19" s="79">
        <f t="shared" si="7"/>
        <v>0.27272732841573288</v>
      </c>
      <c r="AJ19" s="77"/>
      <c r="AK19" s="95" t="e">
        <f t="shared" si="8"/>
        <v>#REF!</v>
      </c>
      <c r="AL19" s="95">
        <f>'1721'!H21</f>
        <v>100593.81</v>
      </c>
      <c r="AM19" s="95">
        <f>'1721'!I21</f>
        <v>292729</v>
      </c>
      <c r="AN19" s="79">
        <f t="shared" si="9"/>
        <v>0.34364142261272368</v>
      </c>
      <c r="AO19" s="77"/>
      <c r="AP19" s="95" t="e">
        <f t="shared" si="10"/>
        <v>#REF!</v>
      </c>
      <c r="AQ19" s="95">
        <f>'9000'!H18</f>
        <v>510576.79</v>
      </c>
      <c r="AR19" s="95">
        <f>'9000'!I18</f>
        <v>2676220.7599999998</v>
      </c>
      <c r="AS19" s="79">
        <f t="shared" si="11"/>
        <v>0.19078276262979144</v>
      </c>
      <c r="AT19" s="77"/>
      <c r="AU19" s="95" t="e">
        <f t="shared" si="12"/>
        <v>#REF!</v>
      </c>
      <c r="AV19" s="91">
        <f t="shared" si="1"/>
        <v>802219.03</v>
      </c>
      <c r="AW19" s="91">
        <f t="shared" si="2"/>
        <v>3669460.76</v>
      </c>
      <c r="AX19" s="92">
        <f t="shared" si="13"/>
        <v>0.21862041386157241</v>
      </c>
    </row>
    <row r="20" spans="1:50" ht="16.5" x14ac:dyDescent="0.25">
      <c r="A20" s="49" t="str">
        <f t="shared" si="0"/>
        <v>Revenues</v>
      </c>
      <c r="B20" s="15" t="s">
        <v>20</v>
      </c>
      <c r="C20" s="80" t="s">
        <v>17</v>
      </c>
      <c r="D20" s="88" t="s">
        <v>23</v>
      </c>
      <c r="E20" s="90">
        <v>3355</v>
      </c>
      <c r="F20" s="76"/>
      <c r="G20" s="91">
        <v>50684.27</v>
      </c>
      <c r="H20" s="91">
        <f>'1351'!H20</f>
        <v>152052.81</v>
      </c>
      <c r="I20" s="91">
        <f>'1351'!I20</f>
        <v>557527</v>
      </c>
      <c r="J20" s="92">
        <v>9.0909086017358795E-2</v>
      </c>
      <c r="K20" s="97"/>
      <c r="L20" s="91">
        <v>0</v>
      </c>
      <c r="M20" s="91">
        <f>'1361'!H22</f>
        <v>193077.54</v>
      </c>
      <c r="N20" s="91">
        <f>'1361'!I22</f>
        <v>678615</v>
      </c>
      <c r="O20" s="79">
        <f t="shared" si="3"/>
        <v>0.28451705311553682</v>
      </c>
      <c r="P20" s="98"/>
      <c r="Q20" s="95" t="e">
        <f>G20+L20+#REF!</f>
        <v>#REF!</v>
      </c>
      <c r="R20" s="91">
        <f>'1401'!H22</f>
        <v>122898.54</v>
      </c>
      <c r="S20" s="91">
        <f>'1401'!I22</f>
        <v>470413</v>
      </c>
      <c r="T20" s="79">
        <f t="shared" si="4"/>
        <v>0.26125668295731624</v>
      </c>
      <c r="U20" s="76"/>
      <c r="V20" s="95" t="e">
        <f>L20+#REF!+Q20</f>
        <v>#REF!</v>
      </c>
      <c r="W20" s="91">
        <f>'1421'!H22</f>
        <v>130784.73</v>
      </c>
      <c r="X20" s="91">
        <f>'1421'!I22</f>
        <v>479340</v>
      </c>
      <c r="Y20" s="79">
        <f t="shared" si="5"/>
        <v>0.2728433471022656</v>
      </c>
      <c r="Z20" s="77"/>
      <c r="AA20" s="95" t="e">
        <f>#REF!+Q20+V20</f>
        <v>#REF!</v>
      </c>
      <c r="AB20" s="91">
        <f>'1601'!H22</f>
        <v>157710.54</v>
      </c>
      <c r="AC20" s="91">
        <f>'1601'!I22</f>
        <v>582812</v>
      </c>
      <c r="AD20" s="79">
        <f t="shared" si="6"/>
        <v>0.27060276727315158</v>
      </c>
      <c r="AE20" s="77"/>
      <c r="AF20" s="91">
        <v>0</v>
      </c>
      <c r="AG20" s="91">
        <f>'1621'!H22</f>
        <v>164629.92000000001</v>
      </c>
      <c r="AH20" s="95">
        <f>'1621'!I22</f>
        <v>677570</v>
      </c>
      <c r="AI20" s="79">
        <f t="shared" si="7"/>
        <v>0.24297108785808111</v>
      </c>
      <c r="AJ20" s="77"/>
      <c r="AK20" s="95" t="e">
        <f t="shared" si="8"/>
        <v>#REF!</v>
      </c>
      <c r="AL20" s="95">
        <f>'1721'!H22</f>
        <v>397804.92</v>
      </c>
      <c r="AM20" s="95">
        <f>'1721'!I22</f>
        <v>1458618</v>
      </c>
      <c r="AN20" s="79">
        <f t="shared" si="9"/>
        <v>0.2727272802063323</v>
      </c>
      <c r="AO20" s="77"/>
      <c r="AP20" s="95" t="e">
        <f t="shared" si="10"/>
        <v>#REF!</v>
      </c>
      <c r="AQ20" s="95">
        <f>'9000'!H19</f>
        <v>0</v>
      </c>
      <c r="AR20" s="95">
        <f>'9000'!I19</f>
        <v>0</v>
      </c>
      <c r="AS20" s="79" t="str">
        <f t="shared" si="11"/>
        <v>%</v>
      </c>
      <c r="AT20" s="77"/>
      <c r="AU20" s="95" t="e">
        <f t="shared" si="12"/>
        <v>#REF!</v>
      </c>
      <c r="AV20" s="91">
        <f t="shared" si="1"/>
        <v>1318959</v>
      </c>
      <c r="AW20" s="91">
        <f t="shared" si="2"/>
        <v>4904895</v>
      </c>
      <c r="AX20" s="92">
        <f t="shared" si="13"/>
        <v>0.26890667384317096</v>
      </c>
    </row>
    <row r="21" spans="1:50" ht="16.5" x14ac:dyDescent="0.25">
      <c r="A21" s="49" t="str">
        <f t="shared" si="0"/>
        <v>Revenues</v>
      </c>
      <c r="B21" s="15" t="s">
        <v>20</v>
      </c>
      <c r="C21" s="80" t="s">
        <v>17</v>
      </c>
      <c r="D21" s="88" t="s">
        <v>24</v>
      </c>
      <c r="E21" s="90">
        <v>3361</v>
      </c>
      <c r="F21" s="76"/>
      <c r="G21" s="91">
        <v>0</v>
      </c>
      <c r="H21" s="91">
        <f>'1351'!H21</f>
        <v>0</v>
      </c>
      <c r="I21" s="91">
        <f>'1351'!I21</f>
        <v>0</v>
      </c>
      <c r="J21" s="92" t="s">
        <v>95</v>
      </c>
      <c r="K21" s="97"/>
      <c r="L21" s="91">
        <v>0</v>
      </c>
      <c r="M21" s="91">
        <f>'1361'!H23</f>
        <v>0</v>
      </c>
      <c r="N21" s="91">
        <f>'1361'!I23</f>
        <v>0</v>
      </c>
      <c r="O21" s="79" t="str">
        <f t="shared" si="3"/>
        <v>%</v>
      </c>
      <c r="P21" s="98"/>
      <c r="Q21" s="95" t="e">
        <f>G21+L21+#REF!</f>
        <v>#REF!</v>
      </c>
      <c r="R21" s="91">
        <f>'1401'!H23</f>
        <v>0</v>
      </c>
      <c r="S21" s="91">
        <f>'1401'!I23</f>
        <v>0</v>
      </c>
      <c r="T21" s="79" t="str">
        <f t="shared" si="4"/>
        <v>%</v>
      </c>
      <c r="U21" s="76"/>
      <c r="V21" s="95" t="e">
        <f>L21+#REF!+Q21</f>
        <v>#REF!</v>
      </c>
      <c r="W21" s="91">
        <f>'1421'!H23</f>
        <v>0</v>
      </c>
      <c r="X21" s="91">
        <f>'1421'!I23</f>
        <v>0</v>
      </c>
      <c r="Y21" s="79" t="str">
        <f t="shared" si="5"/>
        <v>%</v>
      </c>
      <c r="Z21" s="77"/>
      <c r="AA21" s="95" t="e">
        <f>#REF!+Q21+V21</f>
        <v>#REF!</v>
      </c>
      <c r="AB21" s="91">
        <f>'1601'!H23</f>
        <v>0</v>
      </c>
      <c r="AC21" s="91">
        <f>'1601'!I23</f>
        <v>0</v>
      </c>
      <c r="AD21" s="79" t="str">
        <f t="shared" si="6"/>
        <v>%</v>
      </c>
      <c r="AE21" s="77"/>
      <c r="AF21" s="91">
        <v>0</v>
      </c>
      <c r="AG21" s="91">
        <f>'1621'!H23</f>
        <v>0</v>
      </c>
      <c r="AH21" s="95">
        <f>'1621'!I23</f>
        <v>0</v>
      </c>
      <c r="AI21" s="79" t="str">
        <f t="shared" si="7"/>
        <v>%</v>
      </c>
      <c r="AJ21" s="77"/>
      <c r="AK21" s="95" t="e">
        <f t="shared" si="8"/>
        <v>#REF!</v>
      </c>
      <c r="AL21" s="95">
        <f>'1721'!H23</f>
        <v>0</v>
      </c>
      <c r="AM21" s="95">
        <f>'1721'!I23</f>
        <v>0</v>
      </c>
      <c r="AN21" s="79" t="str">
        <f t="shared" si="9"/>
        <v>%</v>
      </c>
      <c r="AO21" s="77"/>
      <c r="AP21" s="95" t="e">
        <f t="shared" si="10"/>
        <v>#REF!</v>
      </c>
      <c r="AQ21" s="95">
        <f>'9000'!H20</f>
        <v>0</v>
      </c>
      <c r="AR21" s="95">
        <f>'9000'!I20</f>
        <v>0</v>
      </c>
      <c r="AS21" s="79" t="str">
        <f t="shared" si="11"/>
        <v>%</v>
      </c>
      <c r="AT21" s="77"/>
      <c r="AU21" s="95" t="e">
        <f t="shared" si="12"/>
        <v>#REF!</v>
      </c>
      <c r="AV21" s="91">
        <f t="shared" si="1"/>
        <v>0</v>
      </c>
      <c r="AW21" s="91">
        <f t="shared" si="2"/>
        <v>0</v>
      </c>
      <c r="AX21" s="92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0" t="s">
        <v>17</v>
      </c>
      <c r="D22" s="88" t="s">
        <v>25</v>
      </c>
      <c r="E22" s="90" t="s">
        <v>26</v>
      </c>
      <c r="F22" s="76"/>
      <c r="G22" s="91">
        <v>8100</v>
      </c>
      <c r="H22" s="91">
        <f>'1351'!H22</f>
        <v>9300</v>
      </c>
      <c r="I22" s="91">
        <f>'1351'!I22</f>
        <v>0</v>
      </c>
      <c r="J22" s="92" t="s">
        <v>95</v>
      </c>
      <c r="K22" s="97"/>
      <c r="L22" s="91">
        <v>0</v>
      </c>
      <c r="M22" s="91">
        <f>'1361'!H24</f>
        <v>12300</v>
      </c>
      <c r="N22" s="91">
        <f>'1361'!I24</f>
        <v>0</v>
      </c>
      <c r="O22" s="79" t="str">
        <f t="shared" si="3"/>
        <v>%</v>
      </c>
      <c r="P22" s="98"/>
      <c r="Q22" s="95" t="e">
        <f>G22+L22+#REF!</f>
        <v>#REF!</v>
      </c>
      <c r="R22" s="91">
        <f>'1401'!H24</f>
        <v>8400</v>
      </c>
      <c r="S22" s="91">
        <f>'1401'!I24</f>
        <v>0</v>
      </c>
      <c r="T22" s="79" t="str">
        <f t="shared" si="4"/>
        <v>%</v>
      </c>
      <c r="U22" s="76"/>
      <c r="V22" s="95" t="e">
        <f>L22+#REF!+Q22</f>
        <v>#REF!</v>
      </c>
      <c r="W22" s="91">
        <f>'1421'!H24</f>
        <v>8700</v>
      </c>
      <c r="X22" s="91">
        <f>'1421'!I24</f>
        <v>0</v>
      </c>
      <c r="Y22" s="79" t="str">
        <f t="shared" si="5"/>
        <v>%</v>
      </c>
      <c r="Z22" s="77"/>
      <c r="AA22" s="95" t="e">
        <f>#REF!+Q22+V22</f>
        <v>#REF!</v>
      </c>
      <c r="AB22" s="91">
        <f>'1601'!H24</f>
        <v>10200</v>
      </c>
      <c r="AC22" s="91">
        <f>'1601'!I24</f>
        <v>0</v>
      </c>
      <c r="AD22" s="79" t="str">
        <f t="shared" si="6"/>
        <v>%</v>
      </c>
      <c r="AE22" s="77"/>
      <c r="AF22" s="91">
        <v>0</v>
      </c>
      <c r="AG22" s="91">
        <f>'1621'!H24</f>
        <v>9900</v>
      </c>
      <c r="AH22" s="95">
        <f>'1621'!I24</f>
        <v>0</v>
      </c>
      <c r="AI22" s="79" t="str">
        <f t="shared" si="7"/>
        <v>%</v>
      </c>
      <c r="AJ22" s="77"/>
      <c r="AK22" s="95" t="e">
        <f t="shared" si="8"/>
        <v>#REF!</v>
      </c>
      <c r="AL22" s="95">
        <f>'1721'!H24</f>
        <v>20700</v>
      </c>
      <c r="AM22" s="95">
        <f>'1721'!I24</f>
        <v>200000</v>
      </c>
      <c r="AN22" s="79">
        <f t="shared" si="9"/>
        <v>0.10349999999999999</v>
      </c>
      <c r="AO22" s="77"/>
      <c r="AP22" s="95" t="e">
        <f t="shared" si="10"/>
        <v>#REF!</v>
      </c>
      <c r="AQ22" s="95">
        <f>'9000'!H21</f>
        <v>507705.56</v>
      </c>
      <c r="AR22" s="95">
        <f>'9000'!I21</f>
        <v>0</v>
      </c>
      <c r="AS22" s="79" t="str">
        <f t="shared" si="11"/>
        <v>%</v>
      </c>
      <c r="AT22" s="77"/>
      <c r="AU22" s="95" t="e">
        <f t="shared" si="12"/>
        <v>#REF!</v>
      </c>
      <c r="AV22" s="91">
        <f t="shared" si="1"/>
        <v>587205.56000000006</v>
      </c>
      <c r="AW22" s="91">
        <f t="shared" si="2"/>
        <v>200000</v>
      </c>
      <c r="AX22" s="92">
        <f t="shared" si="13"/>
        <v>2.9360278000000002</v>
      </c>
    </row>
    <row r="23" spans="1:50" ht="16.5" x14ac:dyDescent="0.25">
      <c r="A23" s="49" t="str">
        <f t="shared" si="0"/>
        <v>Revenues</v>
      </c>
      <c r="B23" s="15" t="s">
        <v>27</v>
      </c>
      <c r="C23" s="80" t="s">
        <v>17</v>
      </c>
      <c r="D23" s="88" t="s">
        <v>27</v>
      </c>
      <c r="E23" s="90"/>
      <c r="F23" s="76"/>
      <c r="G23" s="91"/>
      <c r="H23" s="91"/>
      <c r="I23" s="91"/>
      <c r="J23" s="92"/>
      <c r="K23" s="89"/>
      <c r="L23" s="91"/>
      <c r="M23" s="91"/>
      <c r="N23" s="91"/>
      <c r="O23" s="79"/>
      <c r="P23" s="76"/>
      <c r="Q23" s="95"/>
      <c r="R23" s="91"/>
      <c r="S23" s="91"/>
      <c r="T23" s="79"/>
      <c r="U23" s="76"/>
      <c r="V23" s="95"/>
      <c r="W23" s="91"/>
      <c r="X23" s="91"/>
      <c r="Y23" s="79"/>
      <c r="Z23" s="77"/>
      <c r="AA23" s="95"/>
      <c r="AB23" s="91"/>
      <c r="AC23" s="91"/>
      <c r="AD23" s="79"/>
      <c r="AE23" s="77"/>
      <c r="AF23" s="95"/>
      <c r="AG23" s="91"/>
      <c r="AH23" s="95"/>
      <c r="AI23" s="79"/>
      <c r="AJ23" s="77"/>
      <c r="AK23" s="95"/>
      <c r="AL23" s="95"/>
      <c r="AM23" s="95"/>
      <c r="AN23" s="79"/>
      <c r="AO23" s="77"/>
      <c r="AP23" s="95"/>
      <c r="AQ23" s="95"/>
      <c r="AR23" s="95"/>
      <c r="AS23" s="79"/>
      <c r="AT23" s="77"/>
      <c r="AU23" s="95"/>
      <c r="AV23" s="91">
        <f t="shared" si="1"/>
        <v>0</v>
      </c>
      <c r="AW23" s="91">
        <f t="shared" si="2"/>
        <v>0</v>
      </c>
      <c r="AX23" s="92"/>
    </row>
    <row r="24" spans="1:50" ht="16.5" x14ac:dyDescent="0.25">
      <c r="A24" s="49" t="str">
        <f t="shared" si="0"/>
        <v>Revenues</v>
      </c>
      <c r="B24" s="15" t="s">
        <v>27</v>
      </c>
      <c r="C24" s="76" t="s">
        <v>17</v>
      </c>
      <c r="D24" s="88" t="s">
        <v>28</v>
      </c>
      <c r="E24" s="90">
        <v>3430</v>
      </c>
      <c r="F24" s="76"/>
      <c r="G24" s="91">
        <v>0</v>
      </c>
      <c r="H24" s="91">
        <f>'1351'!H24</f>
        <v>0</v>
      </c>
      <c r="I24" s="91">
        <f>'1351'!I24</f>
        <v>0</v>
      </c>
      <c r="J24" s="92" t="s">
        <v>95</v>
      </c>
      <c r="K24" s="99"/>
      <c r="L24" s="91">
        <v>0</v>
      </c>
      <c r="M24" s="91">
        <f>'1361'!H26</f>
        <v>0</v>
      </c>
      <c r="N24" s="91">
        <f>'1361'!I26</f>
        <v>0</v>
      </c>
      <c r="O24" s="79" t="str">
        <f t="shared" ref="O24:O29" si="14">IF(N24=0,"%",M24/N24)</f>
        <v>%</v>
      </c>
      <c r="P24" s="100"/>
      <c r="Q24" s="95" t="e">
        <f>G24+L24+#REF!</f>
        <v>#REF!</v>
      </c>
      <c r="R24" s="91">
        <f>'1401'!H26</f>
        <v>0</v>
      </c>
      <c r="S24" s="91">
        <f>'1401'!I26</f>
        <v>0</v>
      </c>
      <c r="T24" s="79" t="str">
        <f t="shared" ref="T24:T29" si="15">IF(S24=0,"%",R24/S24)</f>
        <v>%</v>
      </c>
      <c r="U24" s="76"/>
      <c r="V24" s="95" t="e">
        <f>L24+#REF!+Q24</f>
        <v>#REF!</v>
      </c>
      <c r="W24" s="91">
        <f>'1421'!H26</f>
        <v>0</v>
      </c>
      <c r="X24" s="91">
        <f>'1421'!I26</f>
        <v>0</v>
      </c>
      <c r="Y24" s="79" t="str">
        <f t="shared" ref="Y24:Y29" si="16">IF(X24=0,"%",W24/X24)</f>
        <v>%</v>
      </c>
      <c r="Z24" s="77"/>
      <c r="AA24" s="95" t="e">
        <f>#REF!+Q24+V24</f>
        <v>#REF!</v>
      </c>
      <c r="AB24" s="91">
        <f>'1601'!H26</f>
        <v>0</v>
      </c>
      <c r="AC24" s="91">
        <f>'1601'!I26</f>
        <v>0</v>
      </c>
      <c r="AD24" s="79" t="str">
        <f t="shared" ref="AD24:AD29" si="17">IF(AC24=0,"%",AB24/AC24)</f>
        <v>%</v>
      </c>
      <c r="AE24" s="77"/>
      <c r="AF24" s="91">
        <v>0</v>
      </c>
      <c r="AG24" s="91">
        <f>'1621'!H26</f>
        <v>0</v>
      </c>
      <c r="AH24" s="95">
        <f>'1621'!I26</f>
        <v>0</v>
      </c>
      <c r="AI24" s="79" t="str">
        <f t="shared" ref="AI24:AI29" si="18">IF(AH24=0,"%",AG24/AH24)</f>
        <v>%</v>
      </c>
      <c r="AJ24" s="77"/>
      <c r="AK24" s="95" t="e">
        <f t="shared" ref="AK24:AK29" si="19">V24+AA24+AF24</f>
        <v>#REF!</v>
      </c>
      <c r="AL24" s="95">
        <f>'1721'!H26</f>
        <v>0</v>
      </c>
      <c r="AM24" s="95">
        <f>'1721'!I26</f>
        <v>0</v>
      </c>
      <c r="AN24" s="79" t="str">
        <f t="shared" ref="AN24:AN29" si="20">IF(AM24=0,"%",AL24/AM24)</f>
        <v>%</v>
      </c>
      <c r="AO24" s="77"/>
      <c r="AP24" s="95" t="e">
        <f t="shared" ref="AP24:AP29" si="21">AA24+AF24+AK24</f>
        <v>#REF!</v>
      </c>
      <c r="AQ24" s="95">
        <f>'9000'!H23</f>
        <v>509.41</v>
      </c>
      <c r="AR24" s="95">
        <f>'9000'!I23</f>
        <v>1000</v>
      </c>
      <c r="AS24" s="79">
        <f t="shared" ref="AS24:AS29" si="22">IF(AR24=0,"%",AQ24/AR24)</f>
        <v>0.50941000000000003</v>
      </c>
      <c r="AT24" s="77"/>
      <c r="AU24" s="95" t="e">
        <f t="shared" ref="AU24:AU29" si="23">AF24+AK24+AP24</f>
        <v>#REF!</v>
      </c>
      <c r="AV24" s="91">
        <f t="shared" si="1"/>
        <v>509.41</v>
      </c>
      <c r="AW24" s="91">
        <f t="shared" si="2"/>
        <v>1000</v>
      </c>
      <c r="AX24" s="92">
        <f t="shared" ref="AX24:AX29" si="24">IF(AW24=0,"%",AV24/AW24)</f>
        <v>0.50941000000000003</v>
      </c>
    </row>
    <row r="25" spans="1:50" ht="16.5" x14ac:dyDescent="0.25">
      <c r="A25" s="49" t="str">
        <f t="shared" si="0"/>
        <v>Revenues</v>
      </c>
      <c r="B25" s="15" t="s">
        <v>27</v>
      </c>
      <c r="C25" s="76"/>
      <c r="D25" s="88" t="s">
        <v>29</v>
      </c>
      <c r="E25" s="90">
        <v>3411</v>
      </c>
      <c r="F25" s="76"/>
      <c r="G25" s="91">
        <v>19648.45</v>
      </c>
      <c r="H25" s="91">
        <f>'1351'!H25</f>
        <v>60194.75</v>
      </c>
      <c r="I25" s="91">
        <f>'1351'!I25</f>
        <v>216133</v>
      </c>
      <c r="J25" s="92">
        <v>9.0909069878269397E-2</v>
      </c>
      <c r="K25" s="99"/>
      <c r="L25" s="91">
        <v>0</v>
      </c>
      <c r="M25" s="91">
        <f>'1361'!H27</f>
        <v>77275.19</v>
      </c>
      <c r="N25" s="91">
        <f>'1361'!I27</f>
        <v>265840</v>
      </c>
      <c r="O25" s="79">
        <f t="shared" si="14"/>
        <v>0.29068308004814924</v>
      </c>
      <c r="P25" s="100"/>
      <c r="Q25" s="95" t="e">
        <f>G25+L25+#REF!</f>
        <v>#REF!</v>
      </c>
      <c r="R25" s="91">
        <f>'1401'!H27</f>
        <v>49344.93</v>
      </c>
      <c r="S25" s="91">
        <f>'1401'!I27</f>
        <v>184855</v>
      </c>
      <c r="T25" s="79">
        <f t="shared" si="15"/>
        <v>0.26693857347650862</v>
      </c>
      <c r="U25" s="76"/>
      <c r="V25" s="95" t="e">
        <f>L25+#REF!+Q25</f>
        <v>#REF!</v>
      </c>
      <c r="W25" s="91">
        <f>'1421'!H27</f>
        <v>53051.93</v>
      </c>
      <c r="X25" s="91">
        <f>'1421'!I27</f>
        <v>190486</v>
      </c>
      <c r="Y25" s="79">
        <f t="shared" si="16"/>
        <v>0.27850828932309984</v>
      </c>
      <c r="Z25" s="77"/>
      <c r="AA25" s="95" t="e">
        <f>#REF!+Q25+V25</f>
        <v>#REF!</v>
      </c>
      <c r="AB25" s="91">
        <f>'1601'!H27</f>
        <v>70916.27</v>
      </c>
      <c r="AC25" s="91">
        <f>'1601'!I27</f>
        <v>256626</v>
      </c>
      <c r="AD25" s="79">
        <f t="shared" si="17"/>
        <v>0.27634093973330842</v>
      </c>
      <c r="AE25" s="77"/>
      <c r="AF25" s="91">
        <v>0</v>
      </c>
      <c r="AG25" s="91">
        <f>'1621'!H27</f>
        <v>72812.67</v>
      </c>
      <c r="AH25" s="95">
        <f>'1621'!I27</f>
        <v>294303</v>
      </c>
      <c r="AI25" s="79">
        <f t="shared" si="18"/>
        <v>0.24740716200650351</v>
      </c>
      <c r="AJ25" s="77"/>
      <c r="AK25" s="95" t="e">
        <f t="shared" si="19"/>
        <v>#REF!</v>
      </c>
      <c r="AL25" s="95">
        <f>'1721'!H27</f>
        <v>178673.79</v>
      </c>
      <c r="AM25" s="95">
        <f>'1721'!I27</f>
        <v>641539</v>
      </c>
      <c r="AN25" s="79">
        <f t="shared" si="20"/>
        <v>0.27850807199562305</v>
      </c>
      <c r="AO25" s="77"/>
      <c r="AP25" s="95" t="e">
        <f t="shared" si="21"/>
        <v>#REF!</v>
      </c>
      <c r="AQ25" s="95">
        <f>'9000'!H24</f>
        <v>0</v>
      </c>
      <c r="AR25" s="95">
        <f>'9000'!I24</f>
        <v>0</v>
      </c>
      <c r="AS25" s="79" t="str">
        <f t="shared" si="22"/>
        <v>%</v>
      </c>
      <c r="AT25" s="77"/>
      <c r="AU25" s="95" t="e">
        <f t="shared" si="23"/>
        <v>#REF!</v>
      </c>
      <c r="AV25" s="91">
        <f t="shared" si="1"/>
        <v>562269.53</v>
      </c>
      <c r="AW25" s="91">
        <f t="shared" si="2"/>
        <v>2049782</v>
      </c>
      <c r="AX25" s="92">
        <f t="shared" si="24"/>
        <v>0.27430698971890671</v>
      </c>
    </row>
    <row r="26" spans="1:50" ht="16.5" x14ac:dyDescent="0.25">
      <c r="A26" s="49" t="str">
        <f t="shared" si="0"/>
        <v>Revenues</v>
      </c>
      <c r="B26" s="15" t="s">
        <v>27</v>
      </c>
      <c r="C26" s="76" t="s">
        <v>17</v>
      </c>
      <c r="D26" s="88" t="s">
        <v>30</v>
      </c>
      <c r="E26" s="90">
        <v>3413</v>
      </c>
      <c r="F26" s="76"/>
      <c r="G26" s="91">
        <v>0</v>
      </c>
      <c r="H26" s="91">
        <f>'1351'!H26</f>
        <v>0</v>
      </c>
      <c r="I26" s="91">
        <f>'1351'!I26</f>
        <v>0</v>
      </c>
      <c r="J26" s="92" t="s">
        <v>95</v>
      </c>
      <c r="K26" s="99"/>
      <c r="L26" s="91">
        <v>0</v>
      </c>
      <c r="M26" s="91">
        <f>'1361'!H28</f>
        <v>0</v>
      </c>
      <c r="N26" s="91">
        <f>'1361'!I28</f>
        <v>0</v>
      </c>
      <c r="O26" s="79" t="str">
        <f t="shared" si="14"/>
        <v>%</v>
      </c>
      <c r="P26" s="100"/>
      <c r="Q26" s="95" t="e">
        <f>G26+L26+#REF!</f>
        <v>#REF!</v>
      </c>
      <c r="R26" s="91">
        <f>'1401'!H28</f>
        <v>0</v>
      </c>
      <c r="S26" s="91">
        <f>'1401'!I28</f>
        <v>0</v>
      </c>
      <c r="T26" s="79" t="str">
        <f t="shared" si="15"/>
        <v>%</v>
      </c>
      <c r="U26" s="76"/>
      <c r="V26" s="95" t="e">
        <f>L26+#REF!+Q26</f>
        <v>#REF!</v>
      </c>
      <c r="W26" s="91">
        <f>'1421'!H28</f>
        <v>0</v>
      </c>
      <c r="X26" s="91">
        <f>'1421'!I28</f>
        <v>0</v>
      </c>
      <c r="Y26" s="79" t="str">
        <f t="shared" si="16"/>
        <v>%</v>
      </c>
      <c r="Z26" s="77"/>
      <c r="AA26" s="95" t="e">
        <f>#REF!+Q26+V26</f>
        <v>#REF!</v>
      </c>
      <c r="AB26" s="91">
        <f>'1601'!H28</f>
        <v>0</v>
      </c>
      <c r="AC26" s="91">
        <f>'1601'!I28</f>
        <v>0</v>
      </c>
      <c r="AD26" s="79" t="str">
        <f t="shared" si="17"/>
        <v>%</v>
      </c>
      <c r="AE26" s="77"/>
      <c r="AF26" s="91">
        <v>0</v>
      </c>
      <c r="AG26" s="91">
        <f>'1621'!H28</f>
        <v>0</v>
      </c>
      <c r="AH26" s="95">
        <f>'1621'!I28</f>
        <v>0</v>
      </c>
      <c r="AI26" s="79" t="str">
        <f t="shared" si="18"/>
        <v>%</v>
      </c>
      <c r="AJ26" s="77"/>
      <c r="AK26" s="95" t="e">
        <f t="shared" si="19"/>
        <v>#REF!</v>
      </c>
      <c r="AL26" s="95">
        <f>'1721'!H28</f>
        <v>0</v>
      </c>
      <c r="AM26" s="95">
        <f>'1721'!I28</f>
        <v>0</v>
      </c>
      <c r="AN26" s="79" t="str">
        <f t="shared" si="20"/>
        <v>%</v>
      </c>
      <c r="AO26" s="77"/>
      <c r="AP26" s="95" t="e">
        <f t="shared" si="21"/>
        <v>#REF!</v>
      </c>
      <c r="AQ26" s="95">
        <f>'9000'!H25</f>
        <v>0</v>
      </c>
      <c r="AR26" s="95">
        <f>'9000'!I25</f>
        <v>0</v>
      </c>
      <c r="AS26" s="79" t="str">
        <f t="shared" si="22"/>
        <v>%</v>
      </c>
      <c r="AT26" s="77"/>
      <c r="AU26" s="95" t="e">
        <f t="shared" si="23"/>
        <v>#REF!</v>
      </c>
      <c r="AV26" s="91">
        <f t="shared" si="1"/>
        <v>0</v>
      </c>
      <c r="AW26" s="91">
        <f t="shared" si="2"/>
        <v>0</v>
      </c>
      <c r="AX26" s="92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6"/>
      <c r="D27" s="88" t="s">
        <v>31</v>
      </c>
      <c r="E27" s="90">
        <v>3440</v>
      </c>
      <c r="F27" s="76"/>
      <c r="G27" s="91">
        <v>0</v>
      </c>
      <c r="H27" s="91">
        <f>'1351'!H27</f>
        <v>0</v>
      </c>
      <c r="I27" s="91">
        <f>'1351'!I27</f>
        <v>0</v>
      </c>
      <c r="J27" s="92" t="s">
        <v>95</v>
      </c>
      <c r="K27" s="99"/>
      <c r="L27" s="91">
        <v>0</v>
      </c>
      <c r="M27" s="91">
        <f>'1361'!H29</f>
        <v>0</v>
      </c>
      <c r="N27" s="91">
        <f>'1361'!I29</f>
        <v>0</v>
      </c>
      <c r="O27" s="79" t="str">
        <f t="shared" si="14"/>
        <v>%</v>
      </c>
      <c r="P27" s="100"/>
      <c r="Q27" s="95" t="e">
        <f>G27+L27+#REF!</f>
        <v>#REF!</v>
      </c>
      <c r="R27" s="91">
        <f>'1401'!H29</f>
        <v>0</v>
      </c>
      <c r="S27" s="91">
        <f>'1401'!I29</f>
        <v>0</v>
      </c>
      <c r="T27" s="79" t="str">
        <f t="shared" si="15"/>
        <v>%</v>
      </c>
      <c r="U27" s="76"/>
      <c r="V27" s="95" t="e">
        <f>L27+#REF!+Q27</f>
        <v>#REF!</v>
      </c>
      <c r="W27" s="91">
        <f>'1421'!H29</f>
        <v>0</v>
      </c>
      <c r="X27" s="91">
        <f>'1421'!I29</f>
        <v>79593</v>
      </c>
      <c r="Y27" s="79">
        <f t="shared" si="16"/>
        <v>0</v>
      </c>
      <c r="Z27" s="77"/>
      <c r="AA27" s="95" t="e">
        <f>#REF!+Q27+V27</f>
        <v>#REF!</v>
      </c>
      <c r="AB27" s="91">
        <f>'1601'!H29</f>
        <v>0</v>
      </c>
      <c r="AC27" s="91">
        <f>'1601'!I29</f>
        <v>0</v>
      </c>
      <c r="AD27" s="79" t="str">
        <f t="shared" si="17"/>
        <v>%</v>
      </c>
      <c r="AE27" s="77"/>
      <c r="AF27" s="91">
        <v>0</v>
      </c>
      <c r="AG27" s="91">
        <f>'1621'!H29</f>
        <v>0</v>
      </c>
      <c r="AH27" s="95">
        <f>'1621'!I29</f>
        <v>0</v>
      </c>
      <c r="AI27" s="79" t="str">
        <f t="shared" si="18"/>
        <v>%</v>
      </c>
      <c r="AJ27" s="77"/>
      <c r="AK27" s="95" t="e">
        <f t="shared" si="19"/>
        <v>#REF!</v>
      </c>
      <c r="AL27" s="95">
        <f>'1721'!H29</f>
        <v>0</v>
      </c>
      <c r="AM27" s="95">
        <f>'1721'!I29</f>
        <v>0</v>
      </c>
      <c r="AN27" s="79" t="str">
        <f t="shared" si="20"/>
        <v>%</v>
      </c>
      <c r="AO27" s="77"/>
      <c r="AP27" s="95" t="e">
        <f t="shared" si="21"/>
        <v>#REF!</v>
      </c>
      <c r="AQ27" s="95">
        <f>'9000'!H26</f>
        <v>0</v>
      </c>
      <c r="AR27" s="95">
        <f>'9000'!I26</f>
        <v>20302.2</v>
      </c>
      <c r="AS27" s="79">
        <f t="shared" si="22"/>
        <v>0</v>
      </c>
      <c r="AT27" s="77"/>
      <c r="AU27" s="95" t="e">
        <f t="shared" si="23"/>
        <v>#REF!</v>
      </c>
      <c r="AV27" s="91">
        <f t="shared" si="1"/>
        <v>0</v>
      </c>
      <c r="AW27" s="91">
        <f t="shared" si="2"/>
        <v>99895.2</v>
      </c>
      <c r="AX27" s="92">
        <f t="shared" si="24"/>
        <v>0</v>
      </c>
    </row>
    <row r="28" spans="1:50" ht="16.5" x14ac:dyDescent="0.25">
      <c r="A28" s="49" t="str">
        <f t="shared" si="0"/>
        <v>Revenues</v>
      </c>
      <c r="B28" s="15" t="s">
        <v>27</v>
      </c>
      <c r="C28" s="76" t="s">
        <v>17</v>
      </c>
      <c r="D28" s="88" t="s">
        <v>32</v>
      </c>
      <c r="E28" s="90" t="s">
        <v>33</v>
      </c>
      <c r="F28" s="76"/>
      <c r="G28" s="91">
        <v>0</v>
      </c>
      <c r="H28" s="91">
        <f>'1351'!H28</f>
        <v>0</v>
      </c>
      <c r="I28" s="91">
        <f>'1351'!I28</f>
        <v>220104</v>
      </c>
      <c r="J28" s="92">
        <v>0</v>
      </c>
      <c r="K28" s="99"/>
      <c r="L28" s="91">
        <v>0</v>
      </c>
      <c r="M28" s="91">
        <f>'1361'!H30</f>
        <v>0</v>
      </c>
      <c r="N28" s="91">
        <f>'1361'!I30</f>
        <v>193566</v>
      </c>
      <c r="O28" s="79">
        <f t="shared" si="14"/>
        <v>0</v>
      </c>
      <c r="P28" s="100"/>
      <c r="Q28" s="95" t="e">
        <f>G28+L28+#REF!</f>
        <v>#REF!</v>
      </c>
      <c r="R28" s="91">
        <f>'1401'!H30</f>
        <v>40000</v>
      </c>
      <c r="S28" s="91">
        <f>'1401'!I30</f>
        <v>0</v>
      </c>
      <c r="T28" s="79" t="str">
        <f t="shared" si="15"/>
        <v>%</v>
      </c>
      <c r="U28" s="76"/>
      <c r="V28" s="95" t="e">
        <f>L28+#REF!+Q28</f>
        <v>#REF!</v>
      </c>
      <c r="W28" s="91">
        <f>'1421'!H30</f>
        <v>1554.6200000000001</v>
      </c>
      <c r="X28" s="91">
        <f>'1421'!I30</f>
        <v>83257</v>
      </c>
      <c r="Y28" s="79">
        <f t="shared" si="16"/>
        <v>1.8672544050350123E-2</v>
      </c>
      <c r="Z28" s="77"/>
      <c r="AA28" s="95" t="e">
        <f>#REF!+Q28+V28</f>
        <v>#REF!</v>
      </c>
      <c r="AB28" s="91">
        <f>'1601'!H30</f>
        <v>0</v>
      </c>
      <c r="AC28" s="91">
        <f>'1601'!I30</f>
        <v>114146</v>
      </c>
      <c r="AD28" s="79">
        <f t="shared" si="17"/>
        <v>0</v>
      </c>
      <c r="AE28" s="77"/>
      <c r="AF28" s="91">
        <v>0</v>
      </c>
      <c r="AG28" s="91">
        <f>'1621'!H30</f>
        <v>176</v>
      </c>
      <c r="AH28" s="95">
        <f>'1621'!I30</f>
        <v>0</v>
      </c>
      <c r="AI28" s="79" t="str">
        <f t="shared" si="18"/>
        <v>%</v>
      </c>
      <c r="AJ28" s="77"/>
      <c r="AK28" s="95" t="e">
        <f t="shared" si="19"/>
        <v>#REF!</v>
      </c>
      <c r="AL28" s="95">
        <f>'1721'!H30</f>
        <v>0</v>
      </c>
      <c r="AM28" s="95">
        <f>'1721'!I30</f>
        <v>562752</v>
      </c>
      <c r="AN28" s="79">
        <f t="shared" si="20"/>
        <v>0</v>
      </c>
      <c r="AO28" s="77"/>
      <c r="AP28" s="95" t="e">
        <f t="shared" si="21"/>
        <v>#REF!</v>
      </c>
      <c r="AQ28" s="95">
        <f>'9000'!H27</f>
        <v>10084.43</v>
      </c>
      <c r="AR28" s="95">
        <f>'9000'!I27</f>
        <v>218251</v>
      </c>
      <c r="AS28" s="79">
        <f t="shared" si="22"/>
        <v>4.620565312415522E-2</v>
      </c>
      <c r="AT28" s="77"/>
      <c r="AU28" s="95" t="e">
        <f t="shared" si="23"/>
        <v>#REF!</v>
      </c>
      <c r="AV28" s="91">
        <f t="shared" si="1"/>
        <v>51815.05</v>
      </c>
      <c r="AW28" s="91">
        <f t="shared" si="2"/>
        <v>1392076</v>
      </c>
      <c r="AX28" s="92">
        <f t="shared" si="24"/>
        <v>3.722142325562685E-2</v>
      </c>
    </row>
    <row r="29" spans="1:50" ht="16.5" x14ac:dyDescent="0.25">
      <c r="A29" s="49" t="str">
        <f t="shared" si="0"/>
        <v>Revenues</v>
      </c>
      <c r="B29" s="15" t="s">
        <v>27</v>
      </c>
      <c r="C29" s="76" t="s">
        <v>17</v>
      </c>
      <c r="D29" s="88" t="s">
        <v>34</v>
      </c>
      <c r="E29" s="90">
        <v>3900</v>
      </c>
      <c r="F29" s="76"/>
      <c r="G29" s="91">
        <v>0</v>
      </c>
      <c r="H29" s="91">
        <f>'1351'!H29</f>
        <v>0</v>
      </c>
      <c r="I29" s="91">
        <f>'1351'!I29</f>
        <v>0</v>
      </c>
      <c r="J29" s="79" t="s">
        <v>95</v>
      </c>
      <c r="K29" s="100"/>
      <c r="L29" s="95">
        <v>0</v>
      </c>
      <c r="M29" s="91">
        <f>'1361'!H31</f>
        <v>0</v>
      </c>
      <c r="N29" s="91">
        <f>'1361'!I31</f>
        <v>0</v>
      </c>
      <c r="O29" s="79" t="str">
        <f t="shared" si="14"/>
        <v>%</v>
      </c>
      <c r="P29" s="100"/>
      <c r="Q29" s="95" t="e">
        <f>G29+L29+#REF!</f>
        <v>#REF!</v>
      </c>
      <c r="R29" s="91">
        <f>'1401'!H31</f>
        <v>0</v>
      </c>
      <c r="S29" s="91">
        <f>'1401'!I31</f>
        <v>0</v>
      </c>
      <c r="T29" s="79" t="str">
        <f t="shared" si="15"/>
        <v>%</v>
      </c>
      <c r="U29" s="76"/>
      <c r="V29" s="95" t="e">
        <f>L29+#REF!+Q29</f>
        <v>#REF!</v>
      </c>
      <c r="W29" s="91">
        <f>'1421'!H31</f>
        <v>0</v>
      </c>
      <c r="X29" s="91">
        <f>'1421'!I31</f>
        <v>0</v>
      </c>
      <c r="Y29" s="79" t="str">
        <f t="shared" si="16"/>
        <v>%</v>
      </c>
      <c r="Z29" s="77"/>
      <c r="AA29" s="95" t="e">
        <f>#REF!+Q29+V29</f>
        <v>#REF!</v>
      </c>
      <c r="AB29" s="91">
        <f>'1601'!H31</f>
        <v>0</v>
      </c>
      <c r="AC29" s="91">
        <f>'1601'!I31</f>
        <v>0</v>
      </c>
      <c r="AD29" s="79" t="str">
        <f t="shared" si="17"/>
        <v>%</v>
      </c>
      <c r="AE29" s="77"/>
      <c r="AF29" s="91">
        <v>0</v>
      </c>
      <c r="AG29" s="91">
        <f>'1621'!H31</f>
        <v>0</v>
      </c>
      <c r="AH29" s="95">
        <f>'1621'!I31</f>
        <v>0</v>
      </c>
      <c r="AI29" s="79" t="str">
        <f t="shared" si="18"/>
        <v>%</v>
      </c>
      <c r="AJ29" s="77"/>
      <c r="AK29" s="95" t="e">
        <f t="shared" si="19"/>
        <v>#REF!</v>
      </c>
      <c r="AL29" s="95">
        <f>'1721'!H31</f>
        <v>0</v>
      </c>
      <c r="AM29" s="95">
        <f>'1721'!I31</f>
        <v>0</v>
      </c>
      <c r="AN29" s="79" t="str">
        <f t="shared" si="20"/>
        <v>%</v>
      </c>
      <c r="AO29" s="77"/>
      <c r="AP29" s="95" t="e">
        <f t="shared" si="21"/>
        <v>#REF!</v>
      </c>
      <c r="AQ29" s="95">
        <f>'9000'!H28</f>
        <v>0</v>
      </c>
      <c r="AR29" s="95">
        <f>'9000'!I28</f>
        <v>0</v>
      </c>
      <c r="AS29" s="79" t="str">
        <f t="shared" si="22"/>
        <v>%</v>
      </c>
      <c r="AT29" s="77"/>
      <c r="AU29" s="95" t="e">
        <f t="shared" si="23"/>
        <v>#REF!</v>
      </c>
      <c r="AV29" s="91">
        <f t="shared" si="1"/>
        <v>0</v>
      </c>
      <c r="AW29" s="91">
        <f t="shared" si="2"/>
        <v>0</v>
      </c>
      <c r="AX29" s="92" t="str">
        <f t="shared" si="24"/>
        <v>%</v>
      </c>
    </row>
    <row r="30" spans="1:50" ht="27.75" customHeight="1" x14ac:dyDescent="0.25">
      <c r="A30" s="45"/>
      <c r="B30" s="46"/>
      <c r="C30" s="80" t="s">
        <v>35</v>
      </c>
      <c r="D30" s="76"/>
      <c r="E30" s="76"/>
      <c r="F30" s="76"/>
      <c r="G30" s="101">
        <f>SUM(G14:G29)</f>
        <v>420255.9</v>
      </c>
      <c r="H30" s="101">
        <f>SUM(H14:H29)</f>
        <v>1205455.68</v>
      </c>
      <c r="I30" s="101">
        <f>SUM(I14:I29)</f>
        <v>4753819</v>
      </c>
      <c r="J30" s="102">
        <v>8.8403849620694447E-2</v>
      </c>
      <c r="K30" s="100"/>
      <c r="L30" s="101">
        <f>SUM(L14:L29)</f>
        <v>0</v>
      </c>
      <c r="M30" s="101">
        <f>SUM(M14:M29)</f>
        <v>1527229.1700000002</v>
      </c>
      <c r="N30" s="101">
        <f>SUM(N14:N29)</f>
        <v>5709191</v>
      </c>
      <c r="O30" s="102">
        <f>IF(N30=0,"",M30/N30)</f>
        <v>0.26750360427598241</v>
      </c>
      <c r="P30" s="100"/>
      <c r="Q30" s="101" t="e">
        <f>SUM(Q14:Q29)</f>
        <v>#REF!</v>
      </c>
      <c r="R30" s="101">
        <f>SUM(R14:R29)</f>
        <v>1026663.8400000001</v>
      </c>
      <c r="S30" s="101">
        <f>SUM(S14:S29)</f>
        <v>3987417</v>
      </c>
      <c r="T30" s="102">
        <f>IF(S30=0,"",R30/S30)</f>
        <v>0.25747591485916826</v>
      </c>
      <c r="U30" s="76"/>
      <c r="V30" s="101" t="e">
        <f>SUM(V14:V29)</f>
        <v>#REF!</v>
      </c>
      <c r="W30" s="101">
        <f>SUM(W14:W29)</f>
        <v>1050515.9100000001</v>
      </c>
      <c r="X30" s="101">
        <f>SUM(X14:X29)</f>
        <v>4108771</v>
      </c>
      <c r="Y30" s="102">
        <f>IF(X30=0,"",W30/X30)</f>
        <v>0.25567643219833869</v>
      </c>
      <c r="Z30" s="77"/>
      <c r="AA30" s="101" t="e">
        <f>SUM(AA14:AA29)</f>
        <v>#REF!</v>
      </c>
      <c r="AB30" s="101">
        <f>SUM(AB14:AB29)</f>
        <v>1365450.9500000002</v>
      </c>
      <c r="AC30" s="101">
        <f>SUM(AC14:AC29)</f>
        <v>5271408</v>
      </c>
      <c r="AD30" s="102">
        <f>IF(AC30=0,"",AB30/AC30)</f>
        <v>0.25902964634875542</v>
      </c>
      <c r="AE30" s="77"/>
      <c r="AF30" s="101">
        <f>SUM(AF14:AF29)</f>
        <v>0</v>
      </c>
      <c r="AG30" s="101">
        <f>SUM(AG14:AG29)</f>
        <v>1395557.8599999999</v>
      </c>
      <c r="AH30" s="101">
        <f>SUM(AH14:AH29)</f>
        <v>5925668</v>
      </c>
      <c r="AI30" s="102">
        <f>IF(AH30=0,"",AG30/AH30)</f>
        <v>0.23551063947558315</v>
      </c>
      <c r="AJ30" s="77"/>
      <c r="AK30" s="101" t="e">
        <f>SUM(AK14:AK29)</f>
        <v>#REF!</v>
      </c>
      <c r="AL30" s="101">
        <f>SUM(AL14:AL29)</f>
        <v>3350345.78</v>
      </c>
      <c r="AM30" s="101">
        <f>SUM(AM14:AM29)</f>
        <v>13325880</v>
      </c>
      <c r="AN30" s="102">
        <f>IF(AM30=0,"",AL30/AM30)</f>
        <v>0.25141647530969813</v>
      </c>
      <c r="AO30" s="77"/>
      <c r="AP30" s="101" t="e">
        <f>SUM(AP14:AP29)</f>
        <v>#REF!</v>
      </c>
      <c r="AQ30" s="101">
        <f>SUM(AQ14:AQ29)</f>
        <v>1028876.1900000001</v>
      </c>
      <c r="AR30" s="101">
        <f>SUM(AR14:AR29)</f>
        <v>3167626.96</v>
      </c>
      <c r="AS30" s="102">
        <f>IF(AR30=0,"",AQ30/AR30)</f>
        <v>0.32480977179206738</v>
      </c>
      <c r="AT30" s="77"/>
      <c r="AU30" s="101" t="e">
        <f>SUM(AU14:AU29)</f>
        <v>#REF!</v>
      </c>
      <c r="AV30" s="117">
        <f>SUM(AV14:AV29)</f>
        <v>11950095.380000001</v>
      </c>
      <c r="AW30" s="117">
        <f>SUM(AW14:AW29)</f>
        <v>46249780.960000001</v>
      </c>
      <c r="AX30" s="118">
        <f>IF(AW30=0,"",AV30/AW30)</f>
        <v>0.258381664344211</v>
      </c>
    </row>
    <row r="31" spans="1:50" ht="16.5" x14ac:dyDescent="0.25">
      <c r="A31" s="45"/>
      <c r="B31" s="46"/>
      <c r="C31" s="76"/>
      <c r="D31" s="76"/>
      <c r="E31" s="76"/>
      <c r="F31" s="76"/>
      <c r="G31" s="100"/>
      <c r="H31" s="100"/>
      <c r="I31" s="100"/>
      <c r="J31" s="79"/>
      <c r="K31" s="100"/>
      <c r="L31" s="100"/>
      <c r="M31" s="100"/>
      <c r="N31" s="100"/>
      <c r="O31" s="79"/>
      <c r="P31" s="100"/>
      <c r="Q31" s="100"/>
      <c r="R31" s="100"/>
      <c r="S31" s="100"/>
      <c r="T31" s="79"/>
      <c r="U31" s="76"/>
      <c r="V31" s="100"/>
      <c r="W31" s="100"/>
      <c r="X31" s="100"/>
      <c r="Y31" s="79"/>
      <c r="Z31" s="77"/>
      <c r="AA31" s="100"/>
      <c r="AB31" s="100"/>
      <c r="AC31" s="100"/>
      <c r="AD31" s="79"/>
      <c r="AE31" s="77"/>
      <c r="AF31" s="100"/>
      <c r="AG31" s="100"/>
      <c r="AH31" s="100"/>
      <c r="AI31" s="79"/>
      <c r="AJ31" s="77"/>
      <c r="AK31" s="100"/>
      <c r="AL31" s="100"/>
      <c r="AM31" s="100"/>
      <c r="AN31" s="79"/>
      <c r="AO31" s="77"/>
      <c r="AP31" s="100"/>
      <c r="AQ31" s="100"/>
      <c r="AR31" s="100"/>
      <c r="AS31" s="79"/>
      <c r="AT31" s="77"/>
      <c r="AU31" s="100"/>
      <c r="AV31" s="99"/>
      <c r="AW31" s="99"/>
      <c r="AX31" s="92"/>
    </row>
    <row r="32" spans="1:50" ht="16.5" x14ac:dyDescent="0.25">
      <c r="A32" s="45"/>
      <c r="B32" s="46"/>
      <c r="C32" s="80" t="s">
        <v>36</v>
      </c>
      <c r="D32" s="76"/>
      <c r="E32" s="76"/>
      <c r="F32" s="76"/>
      <c r="G32" s="100"/>
      <c r="H32" s="100"/>
      <c r="I32" s="100"/>
      <c r="J32" s="79"/>
      <c r="K32" s="100"/>
      <c r="L32" s="100"/>
      <c r="M32" s="100"/>
      <c r="N32" s="100"/>
      <c r="O32" s="79"/>
      <c r="P32" s="100"/>
      <c r="Q32" s="100"/>
      <c r="R32" s="100"/>
      <c r="S32" s="100"/>
      <c r="T32" s="79"/>
      <c r="U32" s="76"/>
      <c r="V32" s="100"/>
      <c r="W32" s="100"/>
      <c r="X32" s="100"/>
      <c r="Y32" s="79"/>
      <c r="Z32" s="77"/>
      <c r="AA32" s="100"/>
      <c r="AB32" s="100"/>
      <c r="AC32" s="100"/>
      <c r="AD32" s="79"/>
      <c r="AE32" s="77"/>
      <c r="AF32" s="100"/>
      <c r="AG32" s="100"/>
      <c r="AH32" s="100"/>
      <c r="AI32" s="79"/>
      <c r="AJ32" s="77"/>
      <c r="AK32" s="100"/>
      <c r="AL32" s="100"/>
      <c r="AM32" s="100"/>
      <c r="AN32" s="79"/>
      <c r="AO32" s="77"/>
      <c r="AP32" s="100"/>
      <c r="AQ32" s="100"/>
      <c r="AR32" s="100"/>
      <c r="AS32" s="79"/>
      <c r="AT32" s="77"/>
      <c r="AU32" s="100"/>
      <c r="AV32" s="99"/>
      <c r="AW32" s="99"/>
      <c r="AX32" s="92"/>
    </row>
    <row r="33" spans="1:53" ht="16.5" x14ac:dyDescent="0.25">
      <c r="A33" s="49" t="s">
        <v>36</v>
      </c>
      <c r="B33" s="46" t="s">
        <v>37</v>
      </c>
      <c r="C33" s="76" t="s">
        <v>17</v>
      </c>
      <c r="D33" s="76" t="s">
        <v>37</v>
      </c>
      <c r="E33" s="76"/>
      <c r="F33" s="76"/>
      <c r="G33" s="100"/>
      <c r="H33" s="100"/>
      <c r="I33" s="100"/>
      <c r="J33" s="79"/>
      <c r="K33" s="100"/>
      <c r="L33" s="100"/>
      <c r="M33" s="100"/>
      <c r="N33" s="100"/>
      <c r="O33" s="79"/>
      <c r="P33" s="100"/>
      <c r="Q33" s="100"/>
      <c r="R33" s="100"/>
      <c r="S33" s="100"/>
      <c r="T33" s="79"/>
      <c r="U33" s="76"/>
      <c r="V33" s="100"/>
      <c r="W33" s="100"/>
      <c r="X33" s="100"/>
      <c r="Y33" s="79"/>
      <c r="Z33" s="77"/>
      <c r="AA33" s="100"/>
      <c r="AB33" s="100"/>
      <c r="AC33" s="100"/>
      <c r="AD33" s="79"/>
      <c r="AE33" s="77"/>
      <c r="AF33" s="100"/>
      <c r="AG33" s="100"/>
      <c r="AH33" s="100"/>
      <c r="AI33" s="79"/>
      <c r="AJ33" s="77"/>
      <c r="AK33" s="100"/>
      <c r="AL33" s="100"/>
      <c r="AM33" s="100"/>
      <c r="AN33" s="79"/>
      <c r="AO33" s="77"/>
      <c r="AP33" s="100"/>
      <c r="AQ33" s="100"/>
      <c r="AR33" s="100"/>
      <c r="AS33" s="79"/>
      <c r="AT33" s="77"/>
      <c r="AU33" s="100"/>
      <c r="AV33" s="99"/>
      <c r="AW33" s="99"/>
      <c r="AX33" s="92"/>
    </row>
    <row r="34" spans="1:53" ht="16.5" x14ac:dyDescent="0.25">
      <c r="A34" s="49" t="s">
        <v>36</v>
      </c>
      <c r="B34" s="46" t="s">
        <v>37</v>
      </c>
      <c r="C34" s="76" t="s">
        <v>17</v>
      </c>
      <c r="D34" s="103" t="s">
        <v>64</v>
      </c>
      <c r="E34" s="90">
        <v>5000</v>
      </c>
      <c r="F34" s="103"/>
      <c r="G34" s="91">
        <v>18008.12</v>
      </c>
      <c r="H34" s="91">
        <f>'1351'!H34</f>
        <v>512130.11</v>
      </c>
      <c r="I34" s="91">
        <f>'1351'!I34</f>
        <v>3332046.25</v>
      </c>
      <c r="J34" s="79">
        <v>5.4045228213744027E-3</v>
      </c>
      <c r="K34" s="100"/>
      <c r="L34" s="91">
        <v>6193.79</v>
      </c>
      <c r="M34" s="91">
        <f>'1361'!H36</f>
        <v>795435.45999999985</v>
      </c>
      <c r="N34" s="91">
        <f>'1361'!I36</f>
        <v>4026759.4999999995</v>
      </c>
      <c r="O34" s="79">
        <f t="shared" ref="O34:O48" si="25">IF(N34=0,"%",M34/N34)</f>
        <v>0.1975373647221792</v>
      </c>
      <c r="P34" s="100"/>
      <c r="Q34" s="95" t="e">
        <f>G34+L34+#REF!</f>
        <v>#REF!</v>
      </c>
      <c r="R34" s="91">
        <f>'1401'!H36</f>
        <v>458011.94</v>
      </c>
      <c r="S34" s="91">
        <f>'1401'!I36</f>
        <v>2686218.06</v>
      </c>
      <c r="T34" s="79">
        <f t="shared" ref="T34:T49" si="26">IF(S34=0,"%",R34/S34)</f>
        <v>0.17050437818886527</v>
      </c>
      <c r="U34" s="76"/>
      <c r="V34" s="95" t="e">
        <f>L34+#REF!+Q34</f>
        <v>#REF!</v>
      </c>
      <c r="W34" s="91">
        <f>'1421'!H36</f>
        <v>473123.36000000004</v>
      </c>
      <c r="X34" s="91">
        <f>'1421'!I36</f>
        <v>2985676.4399999995</v>
      </c>
      <c r="Y34" s="79">
        <f t="shared" ref="Y34:Y49" si="27">IF(X34=0,"%",W34/X34)</f>
        <v>0.15846437800875707</v>
      </c>
      <c r="Z34" s="77"/>
      <c r="AA34" s="95" t="e">
        <f>#REF!+Q34+V34</f>
        <v>#REF!</v>
      </c>
      <c r="AB34" s="91">
        <f>'1601'!H36</f>
        <v>471970.91999999987</v>
      </c>
      <c r="AC34" s="91">
        <f>'1601'!I36</f>
        <v>3113780.1</v>
      </c>
      <c r="AD34" s="79">
        <f t="shared" ref="AD34:AD49" si="28">IF(AC34=0,"%",AB34/AC34)</f>
        <v>0.15157490408523064</v>
      </c>
      <c r="AE34" s="77"/>
      <c r="AF34" s="91">
        <v>0</v>
      </c>
      <c r="AG34" s="91">
        <f>'1621'!H37</f>
        <v>587188.7699999999</v>
      </c>
      <c r="AH34" s="95">
        <f>'1621'!I37</f>
        <v>3574658.18</v>
      </c>
      <c r="AI34" s="79">
        <f t="shared" ref="AI34:AI49" si="29">IF(AH34=0,"%",AG34/AH34)</f>
        <v>0.16426431295872879</v>
      </c>
      <c r="AJ34" s="77"/>
      <c r="AK34" s="95" t="e">
        <f t="shared" ref="AK34:AK49" si="30">V34+AA34+AF34</f>
        <v>#REF!</v>
      </c>
      <c r="AL34" s="95">
        <f>'1721'!H36</f>
        <v>1222448.73</v>
      </c>
      <c r="AM34" s="95">
        <f>'1721'!I36</f>
        <v>7647138.370000001</v>
      </c>
      <c r="AN34" s="79">
        <f t="shared" ref="AN34:AN49" si="31">IF(AM34=0,"%",AL34/AM34)</f>
        <v>0.15985701720733997</v>
      </c>
      <c r="AO34" s="77"/>
      <c r="AP34" s="95" t="e">
        <f t="shared" ref="AP34:AP49" si="32">AA34+AF34+AK34</f>
        <v>#REF!</v>
      </c>
      <c r="AQ34" s="95">
        <f>'9000'!H33</f>
        <v>0</v>
      </c>
      <c r="AR34" s="95">
        <f>'9000'!I33</f>
        <v>108352</v>
      </c>
      <c r="AS34" s="79">
        <f t="shared" ref="AS34:AS48" si="33">IF(AR34=0,"%",AQ34/AR34)</f>
        <v>0</v>
      </c>
      <c r="AT34" s="77"/>
      <c r="AU34" s="95" t="e">
        <f t="shared" ref="AU34:AU49" si="34">AF34+AK34+AP34</f>
        <v>#REF!</v>
      </c>
      <c r="AV34" s="91">
        <f>H34+M34+R34+W34+AB34+AG34+AL34+AQ34</f>
        <v>4520309.2899999991</v>
      </c>
      <c r="AW34" s="91">
        <f>I34+N34+S34+X34+AC34+AH34+AM34+AR34</f>
        <v>27474628.900000002</v>
      </c>
      <c r="AX34" s="92">
        <f t="shared" ref="AX34:AX48" si="35">IF(AW34=0,"%",AV34/AW34)</f>
        <v>0.1645266731882955</v>
      </c>
    </row>
    <row r="35" spans="1:53" ht="16.5" x14ac:dyDescent="0.25">
      <c r="A35" s="49" t="s">
        <v>36</v>
      </c>
      <c r="B35" s="46" t="s">
        <v>37</v>
      </c>
      <c r="C35" s="76" t="s">
        <v>17</v>
      </c>
      <c r="D35" s="103" t="s">
        <v>65</v>
      </c>
      <c r="E35" s="90">
        <v>6000</v>
      </c>
      <c r="F35" s="103"/>
      <c r="G35" s="91">
        <v>142</v>
      </c>
      <c r="H35" s="91">
        <f>'1351'!H35</f>
        <v>23972.579999999998</v>
      </c>
      <c r="I35" s="91">
        <f>'1351'!I35</f>
        <v>159751.13</v>
      </c>
      <c r="J35" s="79">
        <v>8.8888260133120804E-4</v>
      </c>
      <c r="K35" s="100"/>
      <c r="L35" s="91">
        <v>73225</v>
      </c>
      <c r="M35" s="91">
        <f>'1361'!H37</f>
        <v>58899.289999999994</v>
      </c>
      <c r="N35" s="91">
        <f>'1361'!I37</f>
        <v>312795.89</v>
      </c>
      <c r="O35" s="79">
        <f t="shared" si="25"/>
        <v>0.18829943705462368</v>
      </c>
      <c r="P35" s="100"/>
      <c r="Q35" s="95" t="e">
        <f>G35+L35+#REF!</f>
        <v>#REF!</v>
      </c>
      <c r="R35" s="91">
        <f>'1401'!H37</f>
        <v>44073.17</v>
      </c>
      <c r="S35" s="91">
        <f>'1401'!I37</f>
        <v>171389.89999999997</v>
      </c>
      <c r="T35" s="79">
        <f t="shared" si="26"/>
        <v>0.2571515007593797</v>
      </c>
      <c r="U35" s="76"/>
      <c r="V35" s="95" t="e">
        <f>L35+#REF!+Q35</f>
        <v>#REF!</v>
      </c>
      <c r="W35" s="91">
        <f>'1421'!H37</f>
        <v>34173.9</v>
      </c>
      <c r="X35" s="91">
        <f>'1421'!I37</f>
        <v>148025.24</v>
      </c>
      <c r="Y35" s="79">
        <f t="shared" si="27"/>
        <v>0.23086535782681389</v>
      </c>
      <c r="Z35" s="77"/>
      <c r="AA35" s="95" t="e">
        <f>#REF!+Q35+V35</f>
        <v>#REF!</v>
      </c>
      <c r="AB35" s="91">
        <f>'1601'!H37</f>
        <v>16499.149999999998</v>
      </c>
      <c r="AC35" s="91">
        <f>'1601'!I37</f>
        <v>128394.91</v>
      </c>
      <c r="AD35" s="79">
        <f t="shared" si="28"/>
        <v>0.12850314704843049</v>
      </c>
      <c r="AE35" s="77"/>
      <c r="AF35" s="91">
        <v>0</v>
      </c>
      <c r="AG35" s="91">
        <f>'1621'!H38</f>
        <v>8922.58</v>
      </c>
      <c r="AH35" s="95">
        <f>'1621'!I38</f>
        <v>54313.98</v>
      </c>
      <c r="AI35" s="79">
        <f t="shared" si="29"/>
        <v>0.16427777894383727</v>
      </c>
      <c r="AJ35" s="77"/>
      <c r="AK35" s="95" t="e">
        <f t="shared" si="30"/>
        <v>#REF!</v>
      </c>
      <c r="AL35" s="95">
        <f>'1721'!H37</f>
        <v>108953.65</v>
      </c>
      <c r="AM35" s="95">
        <f>'1721'!I37</f>
        <v>690748.1399999999</v>
      </c>
      <c r="AN35" s="79">
        <f t="shared" si="31"/>
        <v>0.15773281705832753</v>
      </c>
      <c r="AO35" s="77"/>
      <c r="AP35" s="95" t="e">
        <f t="shared" si="32"/>
        <v>#REF!</v>
      </c>
      <c r="AQ35" s="95">
        <f>'9000'!H34</f>
        <v>169529.77</v>
      </c>
      <c r="AR35" s="95">
        <f>'9000'!I34</f>
        <v>766816.88</v>
      </c>
      <c r="AS35" s="79">
        <f t="shared" si="33"/>
        <v>0.2210824701720181</v>
      </c>
      <c r="AT35" s="77"/>
      <c r="AU35" s="95" t="e">
        <f t="shared" si="34"/>
        <v>#REF!</v>
      </c>
      <c r="AV35" s="91">
        <f t="shared" ref="AV35:AV49" si="36">H35+M35+R35+W35+AB35+AG35+AL35+AQ35</f>
        <v>465024.08999999997</v>
      </c>
      <c r="AW35" s="91">
        <f t="shared" ref="AW35:AW49" si="37">I35+N35+S35+X35+AC35+AH35+AM35+AR35</f>
        <v>2432236.0699999998</v>
      </c>
      <c r="AX35" s="92">
        <f t="shared" si="35"/>
        <v>0.19119200464780542</v>
      </c>
    </row>
    <row r="36" spans="1:53" ht="16.5" x14ac:dyDescent="0.25">
      <c r="A36" s="49" t="s">
        <v>36</v>
      </c>
      <c r="B36" s="46" t="s">
        <v>37</v>
      </c>
      <c r="C36" s="76" t="s">
        <v>17</v>
      </c>
      <c r="D36" s="103" t="s">
        <v>66</v>
      </c>
      <c r="E36" s="90">
        <v>7100</v>
      </c>
      <c r="F36" s="103"/>
      <c r="G36" s="91">
        <v>0</v>
      </c>
      <c r="H36" s="91">
        <f>'1351'!H36</f>
        <v>9000</v>
      </c>
      <c r="I36" s="91">
        <f>'1351'!I36</f>
        <v>13750</v>
      </c>
      <c r="J36" s="79">
        <v>0</v>
      </c>
      <c r="K36" s="100"/>
      <c r="L36" s="95">
        <v>0</v>
      </c>
      <c r="M36" s="91">
        <f>'1361'!H38</f>
        <v>9000</v>
      </c>
      <c r="N36" s="91">
        <f>'1361'!I38</f>
        <v>13750</v>
      </c>
      <c r="O36" s="79">
        <f t="shared" si="25"/>
        <v>0.65454545454545454</v>
      </c>
      <c r="P36" s="100"/>
      <c r="Q36" s="95" t="e">
        <f>G36+L36+#REF!</f>
        <v>#REF!</v>
      </c>
      <c r="R36" s="91">
        <f>'1401'!H38</f>
        <v>9000</v>
      </c>
      <c r="S36" s="91">
        <f>'1401'!I38</f>
        <v>13750</v>
      </c>
      <c r="T36" s="79">
        <f t="shared" si="26"/>
        <v>0.65454545454545454</v>
      </c>
      <c r="U36" s="76"/>
      <c r="V36" s="95" t="e">
        <f>L36+#REF!+Q36</f>
        <v>#REF!</v>
      </c>
      <c r="W36" s="91">
        <f>'1421'!H38</f>
        <v>9000</v>
      </c>
      <c r="X36" s="91">
        <f>'1421'!I38</f>
        <v>13750</v>
      </c>
      <c r="Y36" s="79">
        <f t="shared" si="27"/>
        <v>0.65454545454545454</v>
      </c>
      <c r="Z36" s="77"/>
      <c r="AA36" s="95" t="e">
        <f>#REF!+Q36+V36</f>
        <v>#REF!</v>
      </c>
      <c r="AB36" s="91">
        <f>'1601'!H38</f>
        <v>9000</v>
      </c>
      <c r="AC36" s="91">
        <f>'1601'!I38</f>
        <v>13250</v>
      </c>
      <c r="AD36" s="79">
        <f t="shared" si="28"/>
        <v>0.67924528301886788</v>
      </c>
      <c r="AE36" s="77"/>
      <c r="AF36" s="91">
        <v>0</v>
      </c>
      <c r="AG36" s="91">
        <f>'1621'!H39</f>
        <v>9000</v>
      </c>
      <c r="AH36" s="95">
        <f>'1621'!I39</f>
        <v>13250</v>
      </c>
      <c r="AI36" s="79">
        <f t="shared" si="29"/>
        <v>0.67924528301886788</v>
      </c>
      <c r="AJ36" s="77"/>
      <c r="AK36" s="95" t="e">
        <f t="shared" si="30"/>
        <v>#REF!</v>
      </c>
      <c r="AL36" s="95">
        <f>'1721'!H38</f>
        <v>12000</v>
      </c>
      <c r="AM36" s="95">
        <f>'1721'!I38</f>
        <v>18500</v>
      </c>
      <c r="AN36" s="79">
        <f t="shared" si="31"/>
        <v>0.64864864864864868</v>
      </c>
      <c r="AO36" s="77"/>
      <c r="AP36" s="95" t="e">
        <f t="shared" si="32"/>
        <v>#REF!</v>
      </c>
      <c r="AQ36" s="95">
        <f>'9000'!H35</f>
        <v>98423.91</v>
      </c>
      <c r="AR36" s="95">
        <f>'9000'!I35</f>
        <v>176000</v>
      </c>
      <c r="AS36" s="79">
        <f t="shared" si="33"/>
        <v>0.55922676136363636</v>
      </c>
      <c r="AT36" s="77"/>
      <c r="AU36" s="95" t="e">
        <f t="shared" si="34"/>
        <v>#REF!</v>
      </c>
      <c r="AV36" s="91">
        <f t="shared" si="36"/>
        <v>164423.91</v>
      </c>
      <c r="AW36" s="91">
        <f t="shared" si="37"/>
        <v>276000</v>
      </c>
      <c r="AX36" s="92">
        <f t="shared" si="35"/>
        <v>0.59573880434782611</v>
      </c>
    </row>
    <row r="37" spans="1:53" ht="16.5" x14ac:dyDescent="0.25">
      <c r="A37" s="49" t="s">
        <v>36</v>
      </c>
      <c r="B37" s="46" t="s">
        <v>37</v>
      </c>
      <c r="C37" s="76"/>
      <c r="D37" s="103" t="s">
        <v>67</v>
      </c>
      <c r="E37" s="90">
        <v>7200</v>
      </c>
      <c r="F37" s="103"/>
      <c r="G37" s="91">
        <v>0</v>
      </c>
      <c r="H37" s="91">
        <f>'1351'!H37</f>
        <v>0</v>
      </c>
      <c r="I37" s="91">
        <f>'1351'!I37</f>
        <v>0</v>
      </c>
      <c r="J37" s="79" t="s">
        <v>95</v>
      </c>
      <c r="K37" s="100"/>
      <c r="L37" s="95">
        <v>0</v>
      </c>
      <c r="M37" s="91">
        <f>'1361'!H39</f>
        <v>0</v>
      </c>
      <c r="N37" s="91">
        <f>'1361'!I39</f>
        <v>0</v>
      </c>
      <c r="O37" s="79" t="str">
        <f t="shared" si="25"/>
        <v>%</v>
      </c>
      <c r="P37" s="100"/>
      <c r="Q37" s="95" t="e">
        <f>G37+L37+#REF!</f>
        <v>#REF!</v>
      </c>
      <c r="R37" s="91">
        <f>'1401'!H39</f>
        <v>0</v>
      </c>
      <c r="S37" s="91">
        <f>'1401'!I39</f>
        <v>0</v>
      </c>
      <c r="T37" s="79" t="str">
        <f t="shared" si="26"/>
        <v>%</v>
      </c>
      <c r="U37" s="76"/>
      <c r="V37" s="95" t="e">
        <f>L37+#REF!+Q37</f>
        <v>#REF!</v>
      </c>
      <c r="W37" s="91">
        <f>'1421'!H39</f>
        <v>0</v>
      </c>
      <c r="X37" s="91">
        <f>'1421'!I39</f>
        <v>0</v>
      </c>
      <c r="Y37" s="79" t="str">
        <f t="shared" si="27"/>
        <v>%</v>
      </c>
      <c r="Z37" s="77"/>
      <c r="AA37" s="95" t="e">
        <f>#REF!+Q37+V37</f>
        <v>#REF!</v>
      </c>
      <c r="AB37" s="91">
        <f>'1601'!H39</f>
        <v>0</v>
      </c>
      <c r="AC37" s="91">
        <f>'1601'!I39</f>
        <v>0</v>
      </c>
      <c r="AD37" s="79" t="str">
        <f t="shared" si="28"/>
        <v>%</v>
      </c>
      <c r="AE37" s="77"/>
      <c r="AF37" s="91">
        <v>0</v>
      </c>
      <c r="AG37" s="91">
        <f>'1621'!H40</f>
        <v>0</v>
      </c>
      <c r="AH37" s="95">
        <f>'1621'!I40</f>
        <v>0</v>
      </c>
      <c r="AI37" s="79" t="str">
        <f t="shared" si="29"/>
        <v>%</v>
      </c>
      <c r="AJ37" s="77"/>
      <c r="AK37" s="95" t="e">
        <f t="shared" si="30"/>
        <v>#REF!</v>
      </c>
      <c r="AL37" s="95">
        <f>'1721'!H39</f>
        <v>0</v>
      </c>
      <c r="AM37" s="95">
        <f>'1721'!I39</f>
        <v>0</v>
      </c>
      <c r="AN37" s="79" t="str">
        <f t="shared" si="31"/>
        <v>%</v>
      </c>
      <c r="AO37" s="77"/>
      <c r="AP37" s="95" t="e">
        <f t="shared" si="32"/>
        <v>#REF!</v>
      </c>
      <c r="AQ37" s="95">
        <f>'9000'!H36</f>
        <v>97453.84</v>
      </c>
      <c r="AR37" s="95">
        <f>'9000'!I36</f>
        <v>422707.11000000004</v>
      </c>
      <c r="AS37" s="79">
        <f t="shared" si="33"/>
        <v>0.23054696193778237</v>
      </c>
      <c r="AT37" s="77"/>
      <c r="AU37" s="95" t="e">
        <f t="shared" si="34"/>
        <v>#REF!</v>
      </c>
      <c r="AV37" s="91">
        <f t="shared" si="36"/>
        <v>97453.84</v>
      </c>
      <c r="AW37" s="91">
        <f t="shared" si="37"/>
        <v>422707.11000000004</v>
      </c>
      <c r="AX37" s="92">
        <f t="shared" si="35"/>
        <v>0.23054696193778237</v>
      </c>
    </row>
    <row r="38" spans="1:53" ht="16.5" x14ac:dyDescent="0.25">
      <c r="A38" s="49" t="s">
        <v>36</v>
      </c>
      <c r="B38" s="46" t="s">
        <v>37</v>
      </c>
      <c r="C38" s="76" t="s">
        <v>17</v>
      </c>
      <c r="D38" s="103" t="s">
        <v>68</v>
      </c>
      <c r="E38" s="90">
        <v>7300</v>
      </c>
      <c r="F38" s="103"/>
      <c r="G38" s="91">
        <v>36361.040000000001</v>
      </c>
      <c r="H38" s="91">
        <f>'1351'!H38</f>
        <v>111532.64000000001</v>
      </c>
      <c r="I38" s="91">
        <f>'1351'!I38</f>
        <v>420309.52999999991</v>
      </c>
      <c r="J38" s="79">
        <v>8.6510148841973694E-2</v>
      </c>
      <c r="K38" s="100"/>
      <c r="L38" s="95">
        <v>0</v>
      </c>
      <c r="M38" s="91">
        <f>'1361'!H40</f>
        <v>112850.59</v>
      </c>
      <c r="N38" s="91">
        <f>'1361'!I40</f>
        <v>447743.15</v>
      </c>
      <c r="O38" s="79">
        <f t="shared" si="25"/>
        <v>0.25204314125185384</v>
      </c>
      <c r="P38" s="100"/>
      <c r="Q38" s="95" t="e">
        <f>G38+L38+#REF!</f>
        <v>#REF!</v>
      </c>
      <c r="R38" s="91">
        <f>'1401'!H40</f>
        <v>100791.22000000002</v>
      </c>
      <c r="S38" s="91">
        <f>'1401'!I40</f>
        <v>438855.79</v>
      </c>
      <c r="T38" s="79">
        <f t="shared" si="26"/>
        <v>0.22966820148368106</v>
      </c>
      <c r="U38" s="76"/>
      <c r="V38" s="95" t="e">
        <f>L38+#REF!+Q38</f>
        <v>#REF!</v>
      </c>
      <c r="W38" s="91">
        <f>'1421'!H40</f>
        <v>100097.82</v>
      </c>
      <c r="X38" s="91">
        <f>'1421'!I40</f>
        <v>415645.23</v>
      </c>
      <c r="Y38" s="79">
        <f t="shared" si="27"/>
        <v>0.24082513830364422</v>
      </c>
      <c r="Z38" s="77"/>
      <c r="AA38" s="95" t="e">
        <f>#REF!+Q38+V38</f>
        <v>#REF!</v>
      </c>
      <c r="AB38" s="91">
        <f>'1601'!H40</f>
        <v>154297.17000000001</v>
      </c>
      <c r="AC38" s="91">
        <f>'1601'!I40</f>
        <v>680602.78</v>
      </c>
      <c r="AD38" s="79">
        <f t="shared" si="28"/>
        <v>0.22670664083975678</v>
      </c>
      <c r="AE38" s="77"/>
      <c r="AF38" s="91">
        <v>0</v>
      </c>
      <c r="AG38" s="91">
        <f>'1621'!H41</f>
        <v>144565.75</v>
      </c>
      <c r="AH38" s="95">
        <f>'1621'!I41</f>
        <v>676948.39</v>
      </c>
      <c r="AI38" s="79">
        <f t="shared" si="29"/>
        <v>0.21355505402708763</v>
      </c>
      <c r="AJ38" s="77"/>
      <c r="AK38" s="95" t="e">
        <f t="shared" si="30"/>
        <v>#REF!</v>
      </c>
      <c r="AL38" s="95">
        <f>'1721'!H40</f>
        <v>303750.25000000012</v>
      </c>
      <c r="AM38" s="95">
        <f>'1721'!I40</f>
        <v>1322801.8099999998</v>
      </c>
      <c r="AN38" s="79">
        <f t="shared" si="31"/>
        <v>0.22962642453596291</v>
      </c>
      <c r="AO38" s="77"/>
      <c r="AP38" s="95" t="e">
        <f t="shared" si="32"/>
        <v>#REF!</v>
      </c>
      <c r="AQ38" s="95">
        <f>'9000'!H37</f>
        <v>0</v>
      </c>
      <c r="AR38" s="95">
        <f>'9000'!I37</f>
        <v>0</v>
      </c>
      <c r="AS38" s="79" t="str">
        <f t="shared" si="33"/>
        <v>%</v>
      </c>
      <c r="AT38" s="77"/>
      <c r="AU38" s="95" t="e">
        <f t="shared" si="34"/>
        <v>#REF!</v>
      </c>
      <c r="AV38" s="91">
        <f t="shared" si="36"/>
        <v>1027885.4400000002</v>
      </c>
      <c r="AW38" s="91">
        <f t="shared" si="37"/>
        <v>4402906.68</v>
      </c>
      <c r="AX38" s="92">
        <f t="shared" si="35"/>
        <v>0.23345610404806497</v>
      </c>
    </row>
    <row r="39" spans="1:53" ht="16.5" x14ac:dyDescent="0.25">
      <c r="A39" s="49" t="s">
        <v>36</v>
      </c>
      <c r="B39" s="46" t="s">
        <v>37</v>
      </c>
      <c r="C39" s="76" t="s">
        <v>17</v>
      </c>
      <c r="D39" s="103" t="s">
        <v>69</v>
      </c>
      <c r="E39" s="90">
        <v>7400</v>
      </c>
      <c r="F39" s="103"/>
      <c r="G39" s="91">
        <v>0</v>
      </c>
      <c r="H39" s="91">
        <f>'1351'!H39</f>
        <v>0</v>
      </c>
      <c r="I39" s="91">
        <f>'1351'!I39</f>
        <v>0</v>
      </c>
      <c r="J39" s="79" t="s">
        <v>95</v>
      </c>
      <c r="K39" s="100"/>
      <c r="L39" s="95">
        <v>0</v>
      </c>
      <c r="M39" s="91">
        <f>'1361'!H41</f>
        <v>0</v>
      </c>
      <c r="N39" s="91">
        <f>'1361'!I41</f>
        <v>0</v>
      </c>
      <c r="O39" s="79" t="str">
        <f t="shared" si="25"/>
        <v>%</v>
      </c>
      <c r="P39" s="100"/>
      <c r="Q39" s="95" t="e">
        <f>G39+L39+#REF!</f>
        <v>#REF!</v>
      </c>
      <c r="R39" s="91">
        <f>'1401'!H41</f>
        <v>0</v>
      </c>
      <c r="S39" s="91">
        <f>'1401'!I41</f>
        <v>0</v>
      </c>
      <c r="T39" s="79" t="str">
        <f t="shared" si="26"/>
        <v>%</v>
      </c>
      <c r="U39" s="76"/>
      <c r="V39" s="95" t="e">
        <f>L39+#REF!+Q39</f>
        <v>#REF!</v>
      </c>
      <c r="W39" s="91">
        <f>'1421'!H41</f>
        <v>0</v>
      </c>
      <c r="X39" s="91">
        <f>'1421'!I41</f>
        <v>0</v>
      </c>
      <c r="Y39" s="79" t="str">
        <f t="shared" si="27"/>
        <v>%</v>
      </c>
      <c r="Z39" s="77"/>
      <c r="AA39" s="95" t="e">
        <f>#REF!+Q39+V39</f>
        <v>#REF!</v>
      </c>
      <c r="AB39" s="91">
        <f>'1601'!H41</f>
        <v>0</v>
      </c>
      <c r="AC39" s="91">
        <f>'1601'!I41</f>
        <v>0</v>
      </c>
      <c r="AD39" s="79" t="str">
        <f t="shared" si="28"/>
        <v>%</v>
      </c>
      <c r="AE39" s="77"/>
      <c r="AF39" s="91">
        <v>0</v>
      </c>
      <c r="AG39" s="91">
        <f>'1621'!H42</f>
        <v>0</v>
      </c>
      <c r="AH39" s="95">
        <f>'1621'!I42</f>
        <v>0</v>
      </c>
      <c r="AI39" s="79" t="str">
        <f t="shared" si="29"/>
        <v>%</v>
      </c>
      <c r="AJ39" s="77"/>
      <c r="AK39" s="95" t="e">
        <f t="shared" si="30"/>
        <v>#REF!</v>
      </c>
      <c r="AL39" s="95">
        <f>'1721'!H41</f>
        <v>0</v>
      </c>
      <c r="AM39" s="95">
        <f>'1721'!I41</f>
        <v>0</v>
      </c>
      <c r="AN39" s="79" t="str">
        <f t="shared" si="31"/>
        <v>%</v>
      </c>
      <c r="AO39" s="77"/>
      <c r="AP39" s="95" t="e">
        <f t="shared" si="32"/>
        <v>#REF!</v>
      </c>
      <c r="AQ39" s="95">
        <f>'9000'!H38</f>
        <v>0</v>
      </c>
      <c r="AR39" s="95">
        <f>'9000'!I38</f>
        <v>0</v>
      </c>
      <c r="AS39" s="79" t="str">
        <f t="shared" si="33"/>
        <v>%</v>
      </c>
      <c r="AT39" s="77"/>
      <c r="AU39" s="95" t="e">
        <f t="shared" si="34"/>
        <v>#REF!</v>
      </c>
      <c r="AV39" s="91">
        <f t="shared" si="36"/>
        <v>0</v>
      </c>
      <c r="AW39" s="91">
        <f t="shared" si="37"/>
        <v>0</v>
      </c>
      <c r="AX39" s="92" t="str">
        <f t="shared" si="35"/>
        <v>%</v>
      </c>
    </row>
    <row r="40" spans="1:53" ht="16.5" x14ac:dyDescent="0.25">
      <c r="A40" s="49" t="s">
        <v>36</v>
      </c>
      <c r="B40" s="46" t="s">
        <v>37</v>
      </c>
      <c r="C40" s="76" t="s">
        <v>17</v>
      </c>
      <c r="D40" s="103" t="s">
        <v>70</v>
      </c>
      <c r="E40" s="90">
        <v>7500</v>
      </c>
      <c r="F40" s="103"/>
      <c r="G40" s="91">
        <v>1976.2</v>
      </c>
      <c r="H40" s="91">
        <f>'1351'!H40</f>
        <v>5756.73</v>
      </c>
      <c r="I40" s="91">
        <f>'1351'!I40</f>
        <v>21021</v>
      </c>
      <c r="J40" s="79">
        <v>9.4010751153608296E-2</v>
      </c>
      <c r="K40" s="100"/>
      <c r="L40" s="95">
        <v>0</v>
      </c>
      <c r="M40" s="91">
        <f>'1361'!H42</f>
        <v>7390.86</v>
      </c>
      <c r="N40" s="91">
        <f>'1361'!I42</f>
        <v>25857</v>
      </c>
      <c r="O40" s="79">
        <f t="shared" si="25"/>
        <v>0.28583594384499361</v>
      </c>
      <c r="P40" s="100"/>
      <c r="Q40" s="95" t="e">
        <f>G40+L40+#REF!</f>
        <v>#REF!</v>
      </c>
      <c r="R40" s="91">
        <f>'1401'!H42</f>
        <v>4719.99</v>
      </c>
      <c r="S40" s="91">
        <f>'1401'!I42</f>
        <v>17979</v>
      </c>
      <c r="T40" s="79">
        <f t="shared" si="26"/>
        <v>0.26252794927415318</v>
      </c>
      <c r="U40" s="76"/>
      <c r="V40" s="95" t="e">
        <f>L40+#REF!+Q40</f>
        <v>#REF!</v>
      </c>
      <c r="W40" s="91">
        <f>'1421'!H42</f>
        <v>5073.2</v>
      </c>
      <c r="X40" s="91">
        <f>'1421'!I42</f>
        <v>18525</v>
      </c>
      <c r="Y40" s="79">
        <f t="shared" si="27"/>
        <v>0.27385695006747635</v>
      </c>
      <c r="Z40" s="77"/>
      <c r="AA40" s="95" t="e">
        <f>#REF!+Q40+V40</f>
        <v>#REF!</v>
      </c>
      <c r="AB40" s="91">
        <f>'1601'!H42</f>
        <v>6782.07</v>
      </c>
      <c r="AC40" s="91">
        <f>'1601'!I42</f>
        <v>24960</v>
      </c>
      <c r="AD40" s="79">
        <f t="shared" si="28"/>
        <v>0.27171754807692305</v>
      </c>
      <c r="AE40" s="77"/>
      <c r="AF40" s="91">
        <v>0</v>
      </c>
      <c r="AG40" s="91">
        <f>'1621'!H43</f>
        <v>6963.64</v>
      </c>
      <c r="AH40" s="95">
        <f>'1621'!I43</f>
        <v>28626</v>
      </c>
      <c r="AI40" s="79">
        <f t="shared" si="29"/>
        <v>0.24326276811290437</v>
      </c>
      <c r="AJ40" s="77"/>
      <c r="AK40" s="95" t="e">
        <f t="shared" si="30"/>
        <v>#REF!</v>
      </c>
      <c r="AL40" s="95">
        <f>'1721'!H42</f>
        <v>17088.689999999999</v>
      </c>
      <c r="AM40" s="95">
        <f>'1721'!I42</f>
        <v>62400</v>
      </c>
      <c r="AN40" s="79">
        <f t="shared" si="31"/>
        <v>0.27385721153846154</v>
      </c>
      <c r="AO40" s="77"/>
      <c r="AP40" s="95" t="e">
        <f t="shared" si="32"/>
        <v>#REF!</v>
      </c>
      <c r="AQ40" s="95">
        <f>'9000'!H39</f>
        <v>181212.28</v>
      </c>
      <c r="AR40" s="95">
        <f>'9000'!I39</f>
        <v>606263.59000000008</v>
      </c>
      <c r="AS40" s="79">
        <f t="shared" si="33"/>
        <v>0.29890015331450132</v>
      </c>
      <c r="AT40" s="77"/>
      <c r="AU40" s="95" t="e">
        <f t="shared" si="34"/>
        <v>#REF!</v>
      </c>
      <c r="AV40" s="91">
        <f t="shared" si="36"/>
        <v>234987.46000000002</v>
      </c>
      <c r="AW40" s="91">
        <f t="shared" si="37"/>
        <v>805631.59000000008</v>
      </c>
      <c r="AX40" s="92">
        <f t="shared" si="35"/>
        <v>0.29168103996517813</v>
      </c>
    </row>
    <row r="41" spans="1:53" ht="16.5" x14ac:dyDescent="0.25">
      <c r="A41" s="49" t="s">
        <v>36</v>
      </c>
      <c r="B41" s="46" t="s">
        <v>37</v>
      </c>
      <c r="C41" s="76" t="s">
        <v>17</v>
      </c>
      <c r="D41" s="103" t="s">
        <v>71</v>
      </c>
      <c r="E41" s="90">
        <v>7600</v>
      </c>
      <c r="F41" s="103"/>
      <c r="G41" s="91">
        <v>0</v>
      </c>
      <c r="H41" s="91">
        <f>'1351'!H41</f>
        <v>0</v>
      </c>
      <c r="I41" s="91">
        <f>'1351'!I41</f>
        <v>0</v>
      </c>
      <c r="J41" s="79" t="s">
        <v>95</v>
      </c>
      <c r="K41" s="100"/>
      <c r="L41" s="95">
        <v>0</v>
      </c>
      <c r="M41" s="91">
        <f>'1361'!H43</f>
        <v>0</v>
      </c>
      <c r="N41" s="91">
        <f>'1361'!I43</f>
        <v>0</v>
      </c>
      <c r="O41" s="79" t="str">
        <f t="shared" si="25"/>
        <v>%</v>
      </c>
      <c r="P41" s="100"/>
      <c r="Q41" s="95" t="e">
        <f>G41+L41+#REF!</f>
        <v>#REF!</v>
      </c>
      <c r="R41" s="91">
        <f>'1401'!H43</f>
        <v>0</v>
      </c>
      <c r="S41" s="91">
        <f>'1401'!I43</f>
        <v>0</v>
      </c>
      <c r="T41" s="79" t="str">
        <f t="shared" si="26"/>
        <v>%</v>
      </c>
      <c r="U41" s="76"/>
      <c r="V41" s="95" t="e">
        <f>L41+#REF!+Q41</f>
        <v>#REF!</v>
      </c>
      <c r="W41" s="91">
        <f>'1421'!H43</f>
        <v>0</v>
      </c>
      <c r="X41" s="91">
        <f>'1421'!I43</f>
        <v>0</v>
      </c>
      <c r="Y41" s="79" t="str">
        <f t="shared" si="27"/>
        <v>%</v>
      </c>
      <c r="Z41" s="77"/>
      <c r="AA41" s="95" t="e">
        <f>#REF!+Q41+V41</f>
        <v>#REF!</v>
      </c>
      <c r="AB41" s="91">
        <f>'1601'!H43</f>
        <v>0</v>
      </c>
      <c r="AC41" s="91">
        <f>'1601'!I43</f>
        <v>0</v>
      </c>
      <c r="AD41" s="79" t="str">
        <f t="shared" si="28"/>
        <v>%</v>
      </c>
      <c r="AE41" s="77"/>
      <c r="AF41" s="91">
        <v>0</v>
      </c>
      <c r="AG41" s="91">
        <f>'1621'!H44</f>
        <v>0</v>
      </c>
      <c r="AH41" s="95">
        <f>'1621'!I44</f>
        <v>0</v>
      </c>
      <c r="AI41" s="79" t="str">
        <f t="shared" si="29"/>
        <v>%</v>
      </c>
      <c r="AJ41" s="77"/>
      <c r="AK41" s="95" t="e">
        <f t="shared" si="30"/>
        <v>#REF!</v>
      </c>
      <c r="AL41" s="95">
        <f>'1721'!H43</f>
        <v>0</v>
      </c>
      <c r="AM41" s="95">
        <f>'1721'!I43</f>
        <v>0</v>
      </c>
      <c r="AN41" s="79" t="str">
        <f t="shared" si="31"/>
        <v>%</v>
      </c>
      <c r="AO41" s="77"/>
      <c r="AP41" s="95" t="e">
        <f t="shared" si="32"/>
        <v>#REF!</v>
      </c>
      <c r="AQ41" s="95">
        <f>'9000'!H40</f>
        <v>0</v>
      </c>
      <c r="AR41" s="95">
        <f>'9000'!I40</f>
        <v>0</v>
      </c>
      <c r="AS41" s="79" t="str">
        <f t="shared" si="33"/>
        <v>%</v>
      </c>
      <c r="AT41" s="77"/>
      <c r="AU41" s="95" t="e">
        <f t="shared" si="34"/>
        <v>#REF!</v>
      </c>
      <c r="AV41" s="91">
        <f t="shared" si="36"/>
        <v>0</v>
      </c>
      <c r="AW41" s="91">
        <f t="shared" si="37"/>
        <v>0</v>
      </c>
      <c r="AX41" s="92" t="str">
        <f t="shared" si="35"/>
        <v>%</v>
      </c>
      <c r="BA41" s="69"/>
    </row>
    <row r="42" spans="1:53" ht="16.5" x14ac:dyDescent="0.25">
      <c r="A42" s="49" t="s">
        <v>36</v>
      </c>
      <c r="B42" s="46" t="s">
        <v>37</v>
      </c>
      <c r="C42" s="76" t="s">
        <v>17</v>
      </c>
      <c r="D42" s="103" t="s">
        <v>72</v>
      </c>
      <c r="E42" s="90">
        <v>7700</v>
      </c>
      <c r="F42" s="103"/>
      <c r="G42" s="91">
        <v>0</v>
      </c>
      <c r="H42" s="91">
        <f>'1351'!H42</f>
        <v>0</v>
      </c>
      <c r="I42" s="91">
        <f>'1351'!I42</f>
        <v>0</v>
      </c>
      <c r="J42" s="79" t="s">
        <v>95</v>
      </c>
      <c r="K42" s="100"/>
      <c r="L42" s="95">
        <v>0</v>
      </c>
      <c r="M42" s="91">
        <f>'1361'!H44</f>
        <v>0</v>
      </c>
      <c r="N42" s="91">
        <f>'1361'!I44</f>
        <v>0</v>
      </c>
      <c r="O42" s="79" t="str">
        <f t="shared" si="25"/>
        <v>%</v>
      </c>
      <c r="P42" s="100"/>
      <c r="Q42" s="95" t="e">
        <f>G42+L42+#REF!</f>
        <v>#REF!</v>
      </c>
      <c r="R42" s="91">
        <f>'1401'!H44</f>
        <v>0</v>
      </c>
      <c r="S42" s="91">
        <f>'1401'!I44</f>
        <v>0</v>
      </c>
      <c r="T42" s="79" t="str">
        <f t="shared" si="26"/>
        <v>%</v>
      </c>
      <c r="U42" s="76"/>
      <c r="V42" s="95" t="e">
        <f>L42+#REF!+Q42</f>
        <v>#REF!</v>
      </c>
      <c r="W42" s="91">
        <f>'1421'!H44</f>
        <v>0</v>
      </c>
      <c r="X42" s="91">
        <f>'1421'!I44</f>
        <v>0</v>
      </c>
      <c r="Y42" s="79" t="str">
        <f t="shared" si="27"/>
        <v>%</v>
      </c>
      <c r="Z42" s="77"/>
      <c r="AA42" s="95" t="e">
        <f>#REF!+Q42+V42</f>
        <v>#REF!</v>
      </c>
      <c r="AB42" s="91">
        <f>'1601'!H44</f>
        <v>0</v>
      </c>
      <c r="AC42" s="91">
        <f>'1601'!I44</f>
        <v>0</v>
      </c>
      <c r="AD42" s="79" t="str">
        <f t="shared" si="28"/>
        <v>%</v>
      </c>
      <c r="AE42" s="77"/>
      <c r="AF42" s="91">
        <v>0</v>
      </c>
      <c r="AG42" s="91">
        <f>'1621'!H45</f>
        <v>0</v>
      </c>
      <c r="AH42" s="95">
        <f>'1621'!I45</f>
        <v>0</v>
      </c>
      <c r="AI42" s="79" t="str">
        <f t="shared" si="29"/>
        <v>%</v>
      </c>
      <c r="AJ42" s="77"/>
      <c r="AK42" s="95" t="e">
        <f t="shared" si="30"/>
        <v>#REF!</v>
      </c>
      <c r="AL42" s="95">
        <f>'1721'!H44</f>
        <v>0</v>
      </c>
      <c r="AM42" s="95">
        <f>'1721'!I44</f>
        <v>0</v>
      </c>
      <c r="AN42" s="79" t="str">
        <f t="shared" si="31"/>
        <v>%</v>
      </c>
      <c r="AO42" s="77"/>
      <c r="AP42" s="95" t="e">
        <f t="shared" si="32"/>
        <v>#REF!</v>
      </c>
      <c r="AQ42" s="95">
        <f>'9000'!H41</f>
        <v>58907.840000000004</v>
      </c>
      <c r="AR42" s="95">
        <f>'9000'!I41</f>
        <v>216609.29</v>
      </c>
      <c r="AS42" s="79">
        <f t="shared" si="33"/>
        <v>0.27195435615896252</v>
      </c>
      <c r="AT42" s="77"/>
      <c r="AU42" s="95" t="e">
        <f t="shared" si="34"/>
        <v>#REF!</v>
      </c>
      <c r="AV42" s="91">
        <f t="shared" si="36"/>
        <v>58907.840000000004</v>
      </c>
      <c r="AW42" s="91">
        <f t="shared" si="37"/>
        <v>216609.29</v>
      </c>
      <c r="AX42" s="92">
        <f t="shared" si="35"/>
        <v>0.27195435615896252</v>
      </c>
    </row>
    <row r="43" spans="1:53" ht="16.5" x14ac:dyDescent="0.25">
      <c r="A43" s="49" t="s">
        <v>36</v>
      </c>
      <c r="B43" s="46" t="s">
        <v>37</v>
      </c>
      <c r="C43" s="76" t="s">
        <v>17</v>
      </c>
      <c r="D43" s="103" t="s">
        <v>73</v>
      </c>
      <c r="E43" s="90">
        <v>7800</v>
      </c>
      <c r="F43" s="103"/>
      <c r="G43" s="91">
        <v>0</v>
      </c>
      <c r="H43" s="91">
        <f>'1351'!H43</f>
        <v>0</v>
      </c>
      <c r="I43" s="91">
        <f>'1351'!I43</f>
        <v>0</v>
      </c>
      <c r="J43" s="79" t="s">
        <v>95</v>
      </c>
      <c r="K43" s="100"/>
      <c r="L43" s="95">
        <v>0</v>
      </c>
      <c r="M43" s="91">
        <f>'1361'!H45</f>
        <v>0</v>
      </c>
      <c r="N43" s="91">
        <f>'1361'!I45</f>
        <v>0</v>
      </c>
      <c r="O43" s="79" t="str">
        <f t="shared" si="25"/>
        <v>%</v>
      </c>
      <c r="P43" s="100"/>
      <c r="Q43" s="95" t="e">
        <f>G43+L43+#REF!</f>
        <v>#REF!</v>
      </c>
      <c r="R43" s="91">
        <f>'1401'!H45</f>
        <v>0</v>
      </c>
      <c r="S43" s="91">
        <f>'1401'!I45</f>
        <v>0</v>
      </c>
      <c r="T43" s="79" t="str">
        <f t="shared" si="26"/>
        <v>%</v>
      </c>
      <c r="U43" s="76"/>
      <c r="V43" s="95" t="e">
        <f>L43+#REF!+Q43</f>
        <v>#REF!</v>
      </c>
      <c r="W43" s="91">
        <f>'1421'!H45</f>
        <v>0</v>
      </c>
      <c r="X43" s="91">
        <f>'1421'!I45</f>
        <v>0</v>
      </c>
      <c r="Y43" s="79" t="str">
        <f t="shared" si="27"/>
        <v>%</v>
      </c>
      <c r="Z43" s="77"/>
      <c r="AA43" s="95" t="e">
        <f>#REF!+Q43+V43</f>
        <v>#REF!</v>
      </c>
      <c r="AB43" s="91">
        <f>'1601'!H45</f>
        <v>0</v>
      </c>
      <c r="AC43" s="91">
        <f>'1601'!I45</f>
        <v>500</v>
      </c>
      <c r="AD43" s="79">
        <f t="shared" si="28"/>
        <v>0</v>
      </c>
      <c r="AE43" s="77"/>
      <c r="AF43" s="91">
        <v>0</v>
      </c>
      <c r="AG43" s="91">
        <f>'1621'!H46</f>
        <v>483.75</v>
      </c>
      <c r="AH43" s="95">
        <f>'1621'!I46</f>
        <v>12000</v>
      </c>
      <c r="AI43" s="79">
        <f t="shared" si="29"/>
        <v>4.0312500000000001E-2</v>
      </c>
      <c r="AJ43" s="77"/>
      <c r="AK43" s="95" t="e">
        <f t="shared" si="30"/>
        <v>#REF!</v>
      </c>
      <c r="AL43" s="95">
        <f>'1721'!H45</f>
        <v>6526</v>
      </c>
      <c r="AM43" s="95">
        <f>'1721'!I45</f>
        <v>90600</v>
      </c>
      <c r="AN43" s="79">
        <f t="shared" si="31"/>
        <v>7.2030905077262689E-2</v>
      </c>
      <c r="AO43" s="77"/>
      <c r="AP43" s="95" t="e">
        <f t="shared" si="32"/>
        <v>#REF!</v>
      </c>
      <c r="AQ43" s="95">
        <f>'9000'!H42</f>
        <v>454870.32000000007</v>
      </c>
      <c r="AR43" s="95">
        <f>'9000'!I42</f>
        <v>2432618.75</v>
      </c>
      <c r="AS43" s="79">
        <f t="shared" si="33"/>
        <v>0.18698791991141236</v>
      </c>
      <c r="AT43" s="77"/>
      <c r="AU43" s="95" t="e">
        <f t="shared" si="34"/>
        <v>#REF!</v>
      </c>
      <c r="AV43" s="91">
        <f t="shared" si="36"/>
        <v>461880.07000000007</v>
      </c>
      <c r="AW43" s="91">
        <f t="shared" si="37"/>
        <v>2535718.75</v>
      </c>
      <c r="AX43" s="92">
        <f t="shared" si="35"/>
        <v>0.18214956607470764</v>
      </c>
    </row>
    <row r="44" spans="1:53" ht="16.5" x14ac:dyDescent="0.25">
      <c r="A44" s="49" t="s">
        <v>36</v>
      </c>
      <c r="B44" s="46" t="s">
        <v>37</v>
      </c>
      <c r="C44" s="76" t="s">
        <v>17</v>
      </c>
      <c r="D44" s="103" t="s">
        <v>74</v>
      </c>
      <c r="E44" s="90">
        <v>7900</v>
      </c>
      <c r="F44" s="103"/>
      <c r="G44" s="91">
        <v>55150.1</v>
      </c>
      <c r="H44" s="91">
        <f>'1351'!H44</f>
        <v>113795.51</v>
      </c>
      <c r="I44" s="91">
        <f>'1351'!I44</f>
        <v>286561.95</v>
      </c>
      <c r="J44" s="79">
        <v>0.19245437155909917</v>
      </c>
      <c r="K44" s="100"/>
      <c r="L44" s="95">
        <v>0</v>
      </c>
      <c r="M44" s="91">
        <f>'1361'!H46</f>
        <v>117768.67000000001</v>
      </c>
      <c r="N44" s="91">
        <f>'1361'!I46</f>
        <v>305745.84999999998</v>
      </c>
      <c r="O44" s="79">
        <f t="shared" si="25"/>
        <v>0.38518485205931668</v>
      </c>
      <c r="P44" s="100"/>
      <c r="Q44" s="95" t="e">
        <f>G44+L44+#REF!</f>
        <v>#REF!</v>
      </c>
      <c r="R44" s="91">
        <f>'1401'!H46</f>
        <v>88533.8</v>
      </c>
      <c r="S44" s="91">
        <f>'1401'!I46</f>
        <v>321371.81</v>
      </c>
      <c r="T44" s="79">
        <f t="shared" si="26"/>
        <v>0.27548713746859133</v>
      </c>
      <c r="U44" s="76"/>
      <c r="V44" s="95" t="e">
        <f>L44+#REF!+Q44</f>
        <v>#REF!</v>
      </c>
      <c r="W44" s="91">
        <f>'1421'!H46</f>
        <v>72214.83</v>
      </c>
      <c r="X44" s="91">
        <f>'1421'!I46</f>
        <v>170665.9</v>
      </c>
      <c r="Y44" s="79">
        <f t="shared" si="27"/>
        <v>0.42313567033601912</v>
      </c>
      <c r="Z44" s="77"/>
      <c r="AA44" s="95" t="e">
        <f>#REF!+Q44+V44</f>
        <v>#REF!</v>
      </c>
      <c r="AB44" s="91">
        <f>'1601'!H46</f>
        <v>197733.64</v>
      </c>
      <c r="AC44" s="91">
        <f>'1601'!I46</f>
        <v>341120.17</v>
      </c>
      <c r="AD44" s="79">
        <f t="shared" si="28"/>
        <v>0.57965977209732289</v>
      </c>
      <c r="AE44" s="77"/>
      <c r="AF44" s="91">
        <v>0</v>
      </c>
      <c r="AG44" s="91">
        <f>'1621'!H47</f>
        <v>220317.09</v>
      </c>
      <c r="AH44" s="95">
        <f>'1621'!I47</f>
        <v>530551.88</v>
      </c>
      <c r="AI44" s="79">
        <f t="shared" si="29"/>
        <v>0.41526021922681716</v>
      </c>
      <c r="AJ44" s="77"/>
      <c r="AK44" s="95" t="e">
        <f t="shared" si="30"/>
        <v>#REF!</v>
      </c>
      <c r="AL44" s="95">
        <f>'1721'!H46</f>
        <v>393392.07</v>
      </c>
      <c r="AM44" s="95">
        <f>'1721'!I46</f>
        <v>1149317.7</v>
      </c>
      <c r="AN44" s="79">
        <f t="shared" si="31"/>
        <v>0.34228313894408835</v>
      </c>
      <c r="AO44" s="77"/>
      <c r="AP44" s="95" t="e">
        <f t="shared" si="32"/>
        <v>#REF!</v>
      </c>
      <c r="AQ44" s="95">
        <f>'9000'!H43</f>
        <v>301701.34999999998</v>
      </c>
      <c r="AR44" s="95">
        <f>'9000'!I43</f>
        <v>821374</v>
      </c>
      <c r="AS44" s="79">
        <f t="shared" si="33"/>
        <v>0.36731300235946107</v>
      </c>
      <c r="AT44" s="77"/>
      <c r="AU44" s="95" t="e">
        <f t="shared" si="34"/>
        <v>#REF!</v>
      </c>
      <c r="AV44" s="91">
        <f t="shared" si="36"/>
        <v>1505456.96</v>
      </c>
      <c r="AW44" s="91">
        <f t="shared" si="37"/>
        <v>3926709.26</v>
      </c>
      <c r="AX44" s="92">
        <f t="shared" si="35"/>
        <v>0.3833889550559697</v>
      </c>
    </row>
    <row r="45" spans="1:53" ht="16.5" x14ac:dyDescent="0.25">
      <c r="A45" s="49" t="s">
        <v>36</v>
      </c>
      <c r="B45" s="46" t="s">
        <v>37</v>
      </c>
      <c r="C45" s="76" t="s">
        <v>17</v>
      </c>
      <c r="D45" s="103" t="s">
        <v>75</v>
      </c>
      <c r="E45" s="90">
        <v>8100</v>
      </c>
      <c r="F45" s="103"/>
      <c r="G45" s="95">
        <v>0</v>
      </c>
      <c r="H45" s="91">
        <f>'1351'!H45</f>
        <v>0</v>
      </c>
      <c r="I45" s="91">
        <f>'1351'!I45</f>
        <v>0</v>
      </c>
      <c r="J45" s="79" t="s">
        <v>95</v>
      </c>
      <c r="K45" s="100"/>
      <c r="L45" s="95">
        <v>0</v>
      </c>
      <c r="M45" s="91">
        <f>'1361'!H47</f>
        <v>6074.25</v>
      </c>
      <c r="N45" s="91">
        <f>'1361'!I47</f>
        <v>0</v>
      </c>
      <c r="O45" s="79" t="str">
        <f t="shared" si="25"/>
        <v>%</v>
      </c>
      <c r="P45" s="100"/>
      <c r="Q45" s="95" t="e">
        <f>G45+L45+#REF!</f>
        <v>#REF!</v>
      </c>
      <c r="R45" s="91">
        <f>'1401'!H47</f>
        <v>0</v>
      </c>
      <c r="S45" s="91">
        <f>'1401'!I47</f>
        <v>4500</v>
      </c>
      <c r="T45" s="79">
        <f t="shared" si="26"/>
        <v>0</v>
      </c>
      <c r="U45" s="76"/>
      <c r="V45" s="95" t="e">
        <f>L45+#REF!+Q45</f>
        <v>#REF!</v>
      </c>
      <c r="W45" s="91">
        <f>'1421'!H47</f>
        <v>16500</v>
      </c>
      <c r="X45" s="91">
        <f>'1421'!I47</f>
        <v>16500</v>
      </c>
      <c r="Y45" s="79">
        <f t="shared" si="27"/>
        <v>1</v>
      </c>
      <c r="Z45" s="77"/>
      <c r="AA45" s="95" t="e">
        <f>#REF!+Q45+V45</f>
        <v>#REF!</v>
      </c>
      <c r="AB45" s="91">
        <f>'1601'!H47</f>
        <v>0</v>
      </c>
      <c r="AC45" s="91">
        <f>'1601'!I47</f>
        <v>0</v>
      </c>
      <c r="AD45" s="79" t="str">
        <f t="shared" si="28"/>
        <v>%</v>
      </c>
      <c r="AE45" s="77"/>
      <c r="AF45" s="91">
        <v>0</v>
      </c>
      <c r="AG45" s="91">
        <f>'1621'!H48</f>
        <v>0</v>
      </c>
      <c r="AH45" s="95">
        <f>'1621'!I48</f>
        <v>0</v>
      </c>
      <c r="AI45" s="79" t="str">
        <f t="shared" si="29"/>
        <v>%</v>
      </c>
      <c r="AJ45" s="77"/>
      <c r="AK45" s="95" t="e">
        <f t="shared" si="30"/>
        <v>#REF!</v>
      </c>
      <c r="AL45" s="95">
        <f>'1721'!H47</f>
        <v>0</v>
      </c>
      <c r="AM45" s="95">
        <f>'1721'!I47</f>
        <v>30000</v>
      </c>
      <c r="AN45" s="79">
        <f t="shared" si="31"/>
        <v>0</v>
      </c>
      <c r="AO45" s="77"/>
      <c r="AP45" s="95" t="e">
        <f t="shared" si="32"/>
        <v>#REF!</v>
      </c>
      <c r="AQ45" s="95">
        <f>'9000'!H44</f>
        <v>0</v>
      </c>
      <c r="AR45" s="95">
        <f>'9000'!I44</f>
        <v>0</v>
      </c>
      <c r="AS45" s="79" t="str">
        <f t="shared" si="33"/>
        <v>%</v>
      </c>
      <c r="AT45" s="77"/>
      <c r="AU45" s="95" t="e">
        <f t="shared" si="34"/>
        <v>#REF!</v>
      </c>
      <c r="AV45" s="91">
        <f t="shared" si="36"/>
        <v>22574.25</v>
      </c>
      <c r="AW45" s="91">
        <f t="shared" si="37"/>
        <v>51000</v>
      </c>
      <c r="AX45" s="92">
        <f t="shared" si="35"/>
        <v>0.44263235294117648</v>
      </c>
    </row>
    <row r="46" spans="1:53" ht="16.5" x14ac:dyDescent="0.25">
      <c r="A46" s="49" t="s">
        <v>36</v>
      </c>
      <c r="B46" s="46" t="s">
        <v>37</v>
      </c>
      <c r="C46" s="76" t="s">
        <v>17</v>
      </c>
      <c r="D46" s="103" t="s">
        <v>76</v>
      </c>
      <c r="E46" s="90">
        <v>8200</v>
      </c>
      <c r="F46" s="103"/>
      <c r="G46" s="95">
        <v>0</v>
      </c>
      <c r="H46" s="91">
        <f>'1351'!H46</f>
        <v>0</v>
      </c>
      <c r="I46" s="91">
        <f>'1351'!I46</f>
        <v>0</v>
      </c>
      <c r="J46" s="79" t="s">
        <v>95</v>
      </c>
      <c r="K46" s="100"/>
      <c r="L46" s="95">
        <v>0</v>
      </c>
      <c r="M46" s="91">
        <f>'1361'!H48</f>
        <v>0</v>
      </c>
      <c r="N46" s="91">
        <f>'1361'!I48</f>
        <v>0</v>
      </c>
      <c r="O46" s="79" t="str">
        <f t="shared" si="25"/>
        <v>%</v>
      </c>
      <c r="P46" s="100"/>
      <c r="Q46" s="95" t="e">
        <f>G46+L46+#REF!</f>
        <v>#REF!</v>
      </c>
      <c r="R46" s="91">
        <f>'1401'!H48</f>
        <v>0</v>
      </c>
      <c r="S46" s="91">
        <f>'1401'!I48</f>
        <v>0</v>
      </c>
      <c r="T46" s="79" t="str">
        <f t="shared" si="26"/>
        <v>%</v>
      </c>
      <c r="U46" s="76"/>
      <c r="V46" s="95" t="e">
        <f>L46+#REF!+Q46</f>
        <v>#REF!</v>
      </c>
      <c r="W46" s="91">
        <f>'1421'!H48</f>
        <v>0</v>
      </c>
      <c r="X46" s="91">
        <f>'1421'!I48</f>
        <v>0</v>
      </c>
      <c r="Y46" s="79" t="str">
        <f t="shared" si="27"/>
        <v>%</v>
      </c>
      <c r="Z46" s="77"/>
      <c r="AA46" s="95" t="e">
        <f>#REF!+Q46+V46</f>
        <v>#REF!</v>
      </c>
      <c r="AB46" s="91">
        <f>'1601'!H48</f>
        <v>0</v>
      </c>
      <c r="AC46" s="91">
        <f>'1601'!I48</f>
        <v>0</v>
      </c>
      <c r="AD46" s="79" t="str">
        <f t="shared" si="28"/>
        <v>%</v>
      </c>
      <c r="AE46" s="77"/>
      <c r="AF46" s="91">
        <v>0</v>
      </c>
      <c r="AG46" s="91">
        <f>'1621'!H49</f>
        <v>0</v>
      </c>
      <c r="AH46" s="95">
        <f>'1621'!I49</f>
        <v>0</v>
      </c>
      <c r="AI46" s="79" t="str">
        <f t="shared" si="29"/>
        <v>%</v>
      </c>
      <c r="AJ46" s="77"/>
      <c r="AK46" s="95" t="e">
        <f t="shared" si="30"/>
        <v>#REF!</v>
      </c>
      <c r="AL46" s="95">
        <f>'1721'!H48</f>
        <v>0</v>
      </c>
      <c r="AM46" s="95">
        <f>'1721'!I48</f>
        <v>0</v>
      </c>
      <c r="AN46" s="79" t="str">
        <f t="shared" si="31"/>
        <v>%</v>
      </c>
      <c r="AO46" s="77"/>
      <c r="AP46" s="95" t="e">
        <f t="shared" si="32"/>
        <v>#REF!</v>
      </c>
      <c r="AQ46" s="95">
        <f>'9000'!H45</f>
        <v>25022.799999999999</v>
      </c>
      <c r="AR46" s="95">
        <f>'9000'!I45</f>
        <v>116387.31</v>
      </c>
      <c r="AS46" s="79">
        <f t="shared" si="33"/>
        <v>0.2149959475822579</v>
      </c>
      <c r="AT46" s="77"/>
      <c r="AU46" s="95" t="e">
        <f t="shared" si="34"/>
        <v>#REF!</v>
      </c>
      <c r="AV46" s="91">
        <f t="shared" si="36"/>
        <v>25022.799999999999</v>
      </c>
      <c r="AW46" s="91">
        <f t="shared" si="37"/>
        <v>116387.31</v>
      </c>
      <c r="AX46" s="92">
        <f t="shared" si="35"/>
        <v>0.2149959475822579</v>
      </c>
    </row>
    <row r="47" spans="1:53" ht="16.5" x14ac:dyDescent="0.25">
      <c r="A47" s="49" t="s">
        <v>36</v>
      </c>
      <c r="B47" s="46" t="s">
        <v>37</v>
      </c>
      <c r="C47" s="76" t="s">
        <v>17</v>
      </c>
      <c r="D47" s="103" t="s">
        <v>77</v>
      </c>
      <c r="E47" s="90">
        <v>9100</v>
      </c>
      <c r="F47" s="103"/>
      <c r="G47" s="95">
        <v>0</v>
      </c>
      <c r="H47" s="91">
        <f>'1351'!H47</f>
        <v>0</v>
      </c>
      <c r="I47" s="91">
        <f>'1351'!I47</f>
        <v>0</v>
      </c>
      <c r="J47" s="79" t="s">
        <v>95</v>
      </c>
      <c r="K47" s="100"/>
      <c r="L47" s="95">
        <v>0</v>
      </c>
      <c r="M47" s="91">
        <f>'1361'!H49</f>
        <v>0</v>
      </c>
      <c r="N47" s="91">
        <f>'1361'!I49</f>
        <v>0</v>
      </c>
      <c r="O47" s="79" t="str">
        <f t="shared" si="25"/>
        <v>%</v>
      </c>
      <c r="P47" s="100"/>
      <c r="Q47" s="95" t="e">
        <f>G47+L47+#REF!</f>
        <v>#REF!</v>
      </c>
      <c r="R47" s="91">
        <f>'1401'!H49</f>
        <v>0</v>
      </c>
      <c r="S47" s="91">
        <f>'1401'!I49</f>
        <v>0</v>
      </c>
      <c r="T47" s="79" t="str">
        <f t="shared" si="26"/>
        <v>%</v>
      </c>
      <c r="U47" s="76"/>
      <c r="V47" s="95" t="e">
        <f>L47+#REF!+Q47</f>
        <v>#REF!</v>
      </c>
      <c r="W47" s="91">
        <f>'1421'!H49</f>
        <v>0</v>
      </c>
      <c r="X47" s="91">
        <f>'1421'!I49</f>
        <v>0</v>
      </c>
      <c r="Y47" s="79" t="str">
        <f t="shared" si="27"/>
        <v>%</v>
      </c>
      <c r="Z47" s="77"/>
      <c r="AA47" s="95" t="e">
        <f>#REF!+Q47+V47</f>
        <v>#REF!</v>
      </c>
      <c r="AB47" s="91">
        <f>'1601'!H49</f>
        <v>0</v>
      </c>
      <c r="AC47" s="91">
        <f>'1601'!I49</f>
        <v>5365.2</v>
      </c>
      <c r="AD47" s="79">
        <f t="shared" si="28"/>
        <v>0</v>
      </c>
      <c r="AE47" s="77"/>
      <c r="AF47" s="91">
        <v>0</v>
      </c>
      <c r="AG47" s="91">
        <f>'1621'!H50</f>
        <v>197.97</v>
      </c>
      <c r="AH47" s="95">
        <f>'1621'!I50</f>
        <v>24318.2</v>
      </c>
      <c r="AI47" s="79">
        <f t="shared" si="29"/>
        <v>8.1408163433148838E-3</v>
      </c>
      <c r="AJ47" s="77"/>
      <c r="AK47" s="95" t="e">
        <f t="shared" si="30"/>
        <v>#REF!</v>
      </c>
      <c r="AL47" s="95">
        <f>'1721'!H49</f>
        <v>265413.66000000003</v>
      </c>
      <c r="AM47" s="95">
        <f>'1721'!I49</f>
        <v>846712.96</v>
      </c>
      <c r="AN47" s="79">
        <f t="shared" si="31"/>
        <v>0.31346356148841759</v>
      </c>
      <c r="AO47" s="77"/>
      <c r="AP47" s="95" t="e">
        <f t="shared" si="32"/>
        <v>#REF!</v>
      </c>
      <c r="AQ47" s="95">
        <f>'9000'!H46</f>
        <v>0</v>
      </c>
      <c r="AR47" s="95">
        <f>'9000'!I46</f>
        <v>0</v>
      </c>
      <c r="AS47" s="79" t="str">
        <f t="shared" si="33"/>
        <v>%</v>
      </c>
      <c r="AT47" s="77"/>
      <c r="AU47" s="95" t="e">
        <f t="shared" si="34"/>
        <v>#REF!</v>
      </c>
      <c r="AV47" s="91">
        <f t="shared" si="36"/>
        <v>265611.63</v>
      </c>
      <c r="AW47" s="91">
        <f t="shared" si="37"/>
        <v>876396.36</v>
      </c>
      <c r="AX47" s="92">
        <f t="shared" si="35"/>
        <v>0.30307249336361919</v>
      </c>
    </row>
    <row r="48" spans="1:53" ht="16.5" x14ac:dyDescent="0.25">
      <c r="A48" s="49" t="s">
        <v>36</v>
      </c>
      <c r="B48" s="46" t="s">
        <v>37</v>
      </c>
      <c r="C48" s="76" t="s">
        <v>17</v>
      </c>
      <c r="D48" s="103" t="s">
        <v>78</v>
      </c>
      <c r="E48" s="90">
        <v>9200</v>
      </c>
      <c r="F48" s="103"/>
      <c r="G48" s="95">
        <v>0</v>
      </c>
      <c r="H48" s="91">
        <f>'1351'!H48</f>
        <v>0</v>
      </c>
      <c r="I48" s="91">
        <f>'1351'!I48</f>
        <v>0</v>
      </c>
      <c r="J48" s="79" t="s">
        <v>95</v>
      </c>
      <c r="K48" s="100"/>
      <c r="L48" s="95">
        <v>0</v>
      </c>
      <c r="M48" s="91">
        <f>'1361'!H50</f>
        <v>0</v>
      </c>
      <c r="N48" s="91">
        <f>'1361'!I50</f>
        <v>0</v>
      </c>
      <c r="O48" s="79" t="str">
        <f t="shared" si="25"/>
        <v>%</v>
      </c>
      <c r="P48" s="100"/>
      <c r="Q48" s="95" t="e">
        <f>G48+L48+#REF!</f>
        <v>#REF!</v>
      </c>
      <c r="R48" s="91">
        <f>'1401'!H50</f>
        <v>0</v>
      </c>
      <c r="S48" s="91">
        <f>'1401'!I50</f>
        <v>0</v>
      </c>
      <c r="T48" s="79" t="str">
        <f t="shared" si="26"/>
        <v>%</v>
      </c>
      <c r="U48" s="76"/>
      <c r="V48" s="95" t="e">
        <f>L48+#REF!+Q48</f>
        <v>#REF!</v>
      </c>
      <c r="W48" s="91">
        <f>'1421'!H50</f>
        <v>0</v>
      </c>
      <c r="X48" s="91">
        <f>'1421'!I50</f>
        <v>0</v>
      </c>
      <c r="Y48" s="79" t="str">
        <f t="shared" si="27"/>
        <v>%</v>
      </c>
      <c r="Z48" s="77"/>
      <c r="AA48" s="95" t="e">
        <f>#REF!+Q48+V48</f>
        <v>#REF!</v>
      </c>
      <c r="AB48" s="91">
        <f>'1601'!H50</f>
        <v>0</v>
      </c>
      <c r="AC48" s="91">
        <f>'1601'!I50</f>
        <v>0</v>
      </c>
      <c r="AD48" s="79" t="str">
        <f t="shared" si="28"/>
        <v>%</v>
      </c>
      <c r="AE48" s="77"/>
      <c r="AF48" s="91">
        <v>0</v>
      </c>
      <c r="AG48" s="91">
        <f>'1621'!H51</f>
        <v>0</v>
      </c>
      <c r="AH48" s="95">
        <f>'1621'!I51</f>
        <v>0</v>
      </c>
      <c r="AI48" s="79" t="str">
        <f t="shared" si="29"/>
        <v>%</v>
      </c>
      <c r="AJ48" s="77"/>
      <c r="AK48" s="95" t="e">
        <f t="shared" si="30"/>
        <v>#REF!</v>
      </c>
      <c r="AL48" s="95">
        <f>'1721'!H50</f>
        <v>0</v>
      </c>
      <c r="AM48" s="95">
        <f>'1721'!I50</f>
        <v>0</v>
      </c>
      <c r="AN48" s="79" t="str">
        <f t="shared" si="31"/>
        <v>%</v>
      </c>
      <c r="AO48" s="77"/>
      <c r="AP48" s="95" t="e">
        <f t="shared" si="32"/>
        <v>#REF!</v>
      </c>
      <c r="AQ48" s="95">
        <f>'9000'!H47</f>
        <v>65931.22</v>
      </c>
      <c r="AR48" s="95">
        <f>'9000'!I47</f>
        <v>368602</v>
      </c>
      <c r="AS48" s="79">
        <f t="shared" si="33"/>
        <v>0.17886831867434252</v>
      </c>
      <c r="AT48" s="77"/>
      <c r="AU48" s="95" t="e">
        <f t="shared" si="34"/>
        <v>#REF!</v>
      </c>
      <c r="AV48" s="91">
        <f t="shared" si="36"/>
        <v>65931.22</v>
      </c>
      <c r="AW48" s="91">
        <f t="shared" si="37"/>
        <v>368602</v>
      </c>
      <c r="AX48" s="92">
        <f t="shared" si="35"/>
        <v>0.17886831867434252</v>
      </c>
      <c r="AZ48" s="69"/>
    </row>
    <row r="49" spans="1:50" ht="16.5" x14ac:dyDescent="0.25">
      <c r="A49" s="49"/>
      <c r="B49" s="46"/>
      <c r="C49" s="76"/>
      <c r="D49" s="103" t="s">
        <v>79</v>
      </c>
      <c r="E49" s="90">
        <v>9800</v>
      </c>
      <c r="F49" s="103"/>
      <c r="G49" s="95">
        <v>0</v>
      </c>
      <c r="H49" s="91">
        <f>'1351'!H49</f>
        <v>0</v>
      </c>
      <c r="I49" s="91">
        <f>'1351'!I49</f>
        <v>0</v>
      </c>
      <c r="J49" s="79" t="s">
        <v>95</v>
      </c>
      <c r="K49" s="100"/>
      <c r="L49" s="95">
        <v>0</v>
      </c>
      <c r="M49" s="91">
        <f>'1361'!H51</f>
        <v>0</v>
      </c>
      <c r="N49" s="91">
        <f>'1361'!I51</f>
        <v>0</v>
      </c>
      <c r="O49" s="79"/>
      <c r="P49" s="100"/>
      <c r="Q49" s="95" t="e">
        <f>G49+L49+#REF!</f>
        <v>#REF!</v>
      </c>
      <c r="R49" s="91">
        <f>'1401'!H51</f>
        <v>0</v>
      </c>
      <c r="S49" s="91">
        <f>'1401'!I51</f>
        <v>0</v>
      </c>
      <c r="T49" s="79" t="str">
        <f t="shared" si="26"/>
        <v>%</v>
      </c>
      <c r="U49" s="76"/>
      <c r="V49" s="95" t="e">
        <f>L49+#REF!+Q49</f>
        <v>#REF!</v>
      </c>
      <c r="W49" s="91">
        <f>'1421'!H51</f>
        <v>0</v>
      </c>
      <c r="X49" s="91">
        <f>'1421'!I51</f>
        <v>0</v>
      </c>
      <c r="Y49" s="79" t="str">
        <f t="shared" si="27"/>
        <v>%</v>
      </c>
      <c r="Z49" s="77"/>
      <c r="AA49" s="95" t="e">
        <f>#REF!+Q49+V49</f>
        <v>#REF!</v>
      </c>
      <c r="AB49" s="91">
        <f>'1601'!H51</f>
        <v>0</v>
      </c>
      <c r="AC49" s="91">
        <f>'1601'!I51</f>
        <v>0</v>
      </c>
      <c r="AD49" s="79" t="str">
        <f t="shared" si="28"/>
        <v>%</v>
      </c>
      <c r="AE49" s="77"/>
      <c r="AF49" s="91">
        <v>0</v>
      </c>
      <c r="AG49" s="91">
        <f>'1621'!H52</f>
        <v>0</v>
      </c>
      <c r="AH49" s="95">
        <f>'1621'!I52</f>
        <v>0</v>
      </c>
      <c r="AI49" s="79" t="str">
        <f t="shared" si="29"/>
        <v>%</v>
      </c>
      <c r="AJ49" s="77"/>
      <c r="AK49" s="95" t="e">
        <f t="shared" si="30"/>
        <v>#REF!</v>
      </c>
      <c r="AL49" s="95">
        <f>'1721'!H51</f>
        <v>0</v>
      </c>
      <c r="AM49" s="95">
        <f>'1721'!I51</f>
        <v>0</v>
      </c>
      <c r="AN49" s="79" t="str">
        <f t="shared" si="31"/>
        <v>%</v>
      </c>
      <c r="AO49" s="77"/>
      <c r="AP49" s="95" t="e">
        <f t="shared" si="32"/>
        <v>#REF!</v>
      </c>
      <c r="AQ49" s="95">
        <f>'9000'!H48</f>
        <v>0</v>
      </c>
      <c r="AR49" s="95">
        <f>'9000'!I48</f>
        <v>0</v>
      </c>
      <c r="AS49" s="79"/>
      <c r="AT49" s="77"/>
      <c r="AU49" s="95" t="e">
        <f t="shared" si="34"/>
        <v>#REF!</v>
      </c>
      <c r="AV49" s="91">
        <f t="shared" si="36"/>
        <v>0</v>
      </c>
      <c r="AW49" s="91">
        <f t="shared" si="37"/>
        <v>0</v>
      </c>
      <c r="AX49" s="92"/>
    </row>
    <row r="50" spans="1:50" ht="30.75" customHeight="1" x14ac:dyDescent="0.25">
      <c r="A50" s="45"/>
      <c r="B50" s="46"/>
      <c r="C50" s="80" t="s">
        <v>38</v>
      </c>
      <c r="D50" s="76"/>
      <c r="E50" s="76"/>
      <c r="F50" s="76"/>
      <c r="G50" s="101">
        <f>SUM(G34:G49)</f>
        <v>111637.45999999999</v>
      </c>
      <c r="H50" s="101">
        <f>SUM(H34:H49)</f>
        <v>776187.57</v>
      </c>
      <c r="I50" s="101">
        <f>SUM(I34:I49)</f>
        <v>4233439.8599999994</v>
      </c>
      <c r="J50" s="102">
        <v>2.6370389964627962E-2</v>
      </c>
      <c r="K50" s="100"/>
      <c r="L50" s="101">
        <f>SUM(L34:L49)</f>
        <v>79418.789999999994</v>
      </c>
      <c r="M50" s="101">
        <f>SUM(M34:M49)</f>
        <v>1107419.1199999999</v>
      </c>
      <c r="N50" s="101">
        <f>SUM(N34:N48)</f>
        <v>5132651.3899999997</v>
      </c>
      <c r="O50" s="102">
        <f>IF(N50=0,"",M50/N50)</f>
        <v>0.21575966023283727</v>
      </c>
      <c r="P50" s="100"/>
      <c r="Q50" s="101" t="e">
        <f>SUM(Q34:Q49)</f>
        <v>#REF!</v>
      </c>
      <c r="R50" s="101">
        <f>SUM(R34:R49)</f>
        <v>705130.12</v>
      </c>
      <c r="S50" s="101">
        <f>SUM(S34:S49)</f>
        <v>3654064.56</v>
      </c>
      <c r="T50" s="102">
        <f>IF(S50=0,"",R50/S50)</f>
        <v>0.19297144547440617</v>
      </c>
      <c r="U50" s="76"/>
      <c r="V50" s="101" t="e">
        <f>SUM(V34:V49)</f>
        <v>#REF!</v>
      </c>
      <c r="W50" s="101">
        <f>SUM(W34:W49)</f>
        <v>710183.11</v>
      </c>
      <c r="X50" s="101">
        <f>SUM(X34:X49)</f>
        <v>3768787.8099999996</v>
      </c>
      <c r="Y50" s="102">
        <f>IF(X50=0,"",W50/X50)</f>
        <v>0.1884380723466626</v>
      </c>
      <c r="Z50" s="77"/>
      <c r="AA50" s="101" t="e">
        <f>SUM(AA34:AA49)</f>
        <v>#REF!</v>
      </c>
      <c r="AB50" s="101">
        <f>SUM(AB34:AB49)</f>
        <v>856282.94999999984</v>
      </c>
      <c r="AC50" s="101">
        <f>SUM(AC34:AC49)</f>
        <v>4307973.16</v>
      </c>
      <c r="AD50" s="102">
        <f>IF(AC50=0,"",AB50/AC50)</f>
        <v>0.19876701135250338</v>
      </c>
      <c r="AE50" s="77"/>
      <c r="AF50" s="101">
        <f>SUM(AF34:AF49)</f>
        <v>0</v>
      </c>
      <c r="AG50" s="101">
        <f>SUM(AG34:AG49)</f>
        <v>977639.54999999981</v>
      </c>
      <c r="AH50" s="101">
        <f>SUM(AH34:AH49)</f>
        <v>4914666.63</v>
      </c>
      <c r="AI50" s="102">
        <f>IF(AH50=0,"",AG50/AH50)</f>
        <v>0.19892286163059647</v>
      </c>
      <c r="AJ50" s="77"/>
      <c r="AK50" s="101" t="e">
        <f>SUM(AK34:AK49)</f>
        <v>#REF!</v>
      </c>
      <c r="AL50" s="101">
        <f>SUM(AL34:AL49)</f>
        <v>2329573.0499999998</v>
      </c>
      <c r="AM50" s="101">
        <f>SUM(AM34:AM49)</f>
        <v>11858218.98</v>
      </c>
      <c r="AN50" s="102">
        <f>IF(AM50=0,"",AL50/AM50)</f>
        <v>0.19645218678530421</v>
      </c>
      <c r="AO50" s="77"/>
      <c r="AP50" s="101" t="e">
        <f>SUM(AP34:AP49)</f>
        <v>#REF!</v>
      </c>
      <c r="AQ50" s="101">
        <f>SUM(AQ34:AQ49)</f>
        <v>1453053.33</v>
      </c>
      <c r="AR50" s="101">
        <f>SUM(AR34:AR49)</f>
        <v>6035730.9299999997</v>
      </c>
      <c r="AS50" s="102">
        <f>IF(AR50=0,"",AQ50/AR50)</f>
        <v>0.2407418996724561</v>
      </c>
      <c r="AT50" s="77"/>
      <c r="AU50" s="101" t="e">
        <f>SUM(AU34:AU49)</f>
        <v>#REF!</v>
      </c>
      <c r="AV50" s="117">
        <f>SUM(AV34:AV49)</f>
        <v>8915468.8000000007</v>
      </c>
      <c r="AW50" s="117">
        <f>SUM(AW34:AW49)</f>
        <v>43905533.320000008</v>
      </c>
      <c r="AX50" s="118">
        <f>IF(AW50=0,"",AV50/AW50)</f>
        <v>0.20306025518516579</v>
      </c>
    </row>
    <row r="51" spans="1:50" ht="27.75" customHeight="1" x14ac:dyDescent="0.25">
      <c r="A51" s="45"/>
      <c r="B51" s="46"/>
      <c r="C51" s="80" t="s">
        <v>39</v>
      </c>
      <c r="D51" s="76"/>
      <c r="E51" s="76"/>
      <c r="F51" s="76"/>
      <c r="G51" s="104">
        <f>G30-G50</f>
        <v>308618.44000000006</v>
      </c>
      <c r="H51" s="104">
        <f>H30-H50</f>
        <v>429268.11</v>
      </c>
      <c r="I51" s="104">
        <f>I30-I50</f>
        <v>520379.1400000006</v>
      </c>
      <c r="J51" s="102">
        <v>0.59306458748519342</v>
      </c>
      <c r="K51" s="100"/>
      <c r="L51" s="104">
        <f>L30-L50</f>
        <v>-79418.789999999994</v>
      </c>
      <c r="M51" s="104">
        <f>M30-M50</f>
        <v>419810.05000000028</v>
      </c>
      <c r="N51" s="104">
        <f>N30-N50</f>
        <v>576539.61000000034</v>
      </c>
      <c r="O51" s="102">
        <f>IF(N51=0,"",M51/N51)</f>
        <v>0.72815474031350602</v>
      </c>
      <c r="P51" s="100"/>
      <c r="Q51" s="104" t="e">
        <f>Q30-Q50</f>
        <v>#REF!</v>
      </c>
      <c r="R51" s="104">
        <f>R30-R50</f>
        <v>321533.72000000009</v>
      </c>
      <c r="S51" s="104">
        <f>S30-S50</f>
        <v>333352.43999999994</v>
      </c>
      <c r="T51" s="102">
        <f>IF(S51=0,"",R51/S51)</f>
        <v>0.96454587223060417</v>
      </c>
      <c r="U51" s="76"/>
      <c r="V51" s="104" t="e">
        <f>V30-V50</f>
        <v>#REF!</v>
      </c>
      <c r="W51" s="104">
        <f>W30-W50</f>
        <v>340332.80000000016</v>
      </c>
      <c r="X51" s="104">
        <f>X30-X50</f>
        <v>339983.19000000041</v>
      </c>
      <c r="Y51" s="102">
        <f>IF(X51=0,"",W51/X51)</f>
        <v>1.0010283155470121</v>
      </c>
      <c r="Z51" s="77"/>
      <c r="AA51" s="104" t="e">
        <f>AA30-AA50</f>
        <v>#REF!</v>
      </c>
      <c r="AB51" s="104">
        <f>AB30-AB50</f>
        <v>509168.00000000035</v>
      </c>
      <c r="AC51" s="104">
        <f>AC30-AC50</f>
        <v>963434.83999999985</v>
      </c>
      <c r="AD51" s="102">
        <f>IF(AC51=0,"",AB51/AC51)</f>
        <v>0.52849240951261467</v>
      </c>
      <c r="AE51" s="77"/>
      <c r="AF51" s="104">
        <f>AF30-AF50</f>
        <v>0</v>
      </c>
      <c r="AG51" s="104">
        <f>AG30-AG50</f>
        <v>417918.31000000006</v>
      </c>
      <c r="AH51" s="104">
        <f>AH30-AH50</f>
        <v>1011001.3700000001</v>
      </c>
      <c r="AI51" s="102">
        <f>IF(AH51=0,"",AG51/AH51)</f>
        <v>0.41337066635231168</v>
      </c>
      <c r="AJ51" s="77"/>
      <c r="AK51" s="104" t="e">
        <f>AK30-AK50</f>
        <v>#REF!</v>
      </c>
      <c r="AL51" s="104">
        <f>AL30-AL50</f>
        <v>1020772.73</v>
      </c>
      <c r="AM51" s="104">
        <f>AM30-AM50</f>
        <v>1467661.0199999996</v>
      </c>
      <c r="AN51" s="102">
        <f>IF(AM51=0,"",AL51/AM51)</f>
        <v>0.6955098732539754</v>
      </c>
      <c r="AO51" s="77"/>
      <c r="AP51" s="104" t="e">
        <f>AP30-AP50</f>
        <v>#REF!</v>
      </c>
      <c r="AQ51" s="104">
        <f>AQ30-AQ50</f>
        <v>-424177.14</v>
      </c>
      <c r="AR51" s="104">
        <f>AR30-AR50</f>
        <v>-2868103.9699999997</v>
      </c>
      <c r="AS51" s="102">
        <f>IF(AR51=0,"",AQ51/AR51)</f>
        <v>0.14789461764177261</v>
      </c>
      <c r="AT51" s="77"/>
      <c r="AU51" s="104" t="e">
        <f>AU30-AU50</f>
        <v>#REF!</v>
      </c>
      <c r="AV51" s="119">
        <f>AV30-AV50</f>
        <v>3034626.58</v>
      </c>
      <c r="AW51" s="119">
        <f>AW30-AW50</f>
        <v>2344247.6399999931</v>
      </c>
      <c r="AX51" s="118">
        <f>IF(AW51=0,"",AV51/AW51)</f>
        <v>1.2944991511221098</v>
      </c>
    </row>
    <row r="52" spans="1:50" ht="16.5" x14ac:dyDescent="0.25">
      <c r="C52" s="77"/>
      <c r="D52" s="77"/>
      <c r="E52" s="77"/>
      <c r="F52" s="77"/>
      <c r="G52" s="77"/>
      <c r="H52" s="105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6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120"/>
      <c r="AW52" s="120"/>
      <c r="AX52" s="120"/>
    </row>
    <row r="53" spans="1:50" ht="16.5" x14ac:dyDescent="0.25">
      <c r="A53" s="45"/>
      <c r="B53" s="46"/>
      <c r="C53" s="80" t="s">
        <v>40</v>
      </c>
      <c r="D53" s="76"/>
      <c r="E53" s="76"/>
      <c r="F53" s="76"/>
      <c r="G53" s="100"/>
      <c r="H53" s="100"/>
      <c r="I53" s="100"/>
      <c r="J53" s="79"/>
      <c r="K53" s="100"/>
      <c r="L53" s="100"/>
      <c r="M53" s="100"/>
      <c r="N53" s="100"/>
      <c r="O53" s="79"/>
      <c r="P53" s="100"/>
      <c r="Q53" s="100"/>
      <c r="R53" s="100"/>
      <c r="S53" s="100"/>
      <c r="T53" s="79"/>
      <c r="U53" s="76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120"/>
      <c r="AW53" s="120"/>
      <c r="AX53" s="120"/>
    </row>
    <row r="54" spans="1:50" ht="16.5" x14ac:dyDescent="0.25">
      <c r="A54" s="45" t="str">
        <f>$C$53</f>
        <v>Other Financing Sources (Uses)</v>
      </c>
      <c r="B54" s="46" t="s">
        <v>41</v>
      </c>
      <c r="C54" s="76" t="s">
        <v>17</v>
      </c>
      <c r="D54" s="106" t="s">
        <v>42</v>
      </c>
      <c r="E54" s="107">
        <v>3600</v>
      </c>
      <c r="F54" s="76"/>
      <c r="G54" s="108">
        <v>0</v>
      </c>
      <c r="H54" s="108">
        <f>'1351'!H54</f>
        <v>0</v>
      </c>
      <c r="I54" s="109">
        <v>50176</v>
      </c>
      <c r="J54" s="79">
        <v>0</v>
      </c>
      <c r="K54" s="100"/>
      <c r="L54" s="108">
        <v>0</v>
      </c>
      <c r="M54" s="108">
        <f>'1361'!H56</f>
        <v>0</v>
      </c>
      <c r="N54" s="109">
        <f>'1361'!I56</f>
        <v>97643</v>
      </c>
      <c r="O54" s="79">
        <f>IF(N54=0,"%",M54/N54)</f>
        <v>0</v>
      </c>
      <c r="P54" s="100"/>
      <c r="Q54" s="108" t="e">
        <f>G54+L54+#REF!</f>
        <v>#REF!</v>
      </c>
      <c r="R54" s="108">
        <f>'1401'!H56</f>
        <v>0</v>
      </c>
      <c r="S54" s="109">
        <f>'1401'!I56</f>
        <v>201417</v>
      </c>
      <c r="T54" s="79">
        <f>IF(S54=0,"%",R54/S54)</f>
        <v>0</v>
      </c>
      <c r="U54" s="76"/>
      <c r="V54" s="77"/>
      <c r="W54" s="108">
        <f>'1421'!H56</f>
        <v>0</v>
      </c>
      <c r="X54" s="109">
        <f>'1421'!I56</f>
        <v>122336</v>
      </c>
      <c r="Y54" s="79">
        <f>IF(X54=0,"%",W54/X54)</f>
        <v>0</v>
      </c>
      <c r="Z54" s="77"/>
      <c r="AA54" s="77"/>
      <c r="AB54" s="108">
        <f>'1601'!H56</f>
        <v>0</v>
      </c>
      <c r="AC54" s="109">
        <f>'1601'!I56</f>
        <v>87326</v>
      </c>
      <c r="AD54" s="79">
        <f>IF(AC54=0,"%",AB54/AC54)</f>
        <v>0</v>
      </c>
      <c r="AE54" s="77"/>
      <c r="AF54" s="108">
        <f>'1401'!V56</f>
        <v>0</v>
      </c>
      <c r="AG54" s="108">
        <f>'1621'!H57</f>
        <v>0</v>
      </c>
      <c r="AH54" s="109">
        <f>'1621'!I57</f>
        <v>86347</v>
      </c>
      <c r="AI54" s="79">
        <f>IF(AH54=0,"%",AG54/AH54)</f>
        <v>0</v>
      </c>
      <c r="AJ54" s="77"/>
      <c r="AK54" s="77"/>
      <c r="AL54" s="108">
        <f>'1721'!H56</f>
        <v>0</v>
      </c>
      <c r="AM54" s="109">
        <f>'1721'!I56</f>
        <v>224842</v>
      </c>
      <c r="AN54" s="79">
        <f>IF(AM54=0,"%",AL54/AM54)</f>
        <v>0</v>
      </c>
      <c r="AO54" s="77"/>
      <c r="AP54" s="77"/>
      <c r="AQ54" s="108">
        <f>'9000'!H54</f>
        <v>679922.17</v>
      </c>
      <c r="AR54" s="109">
        <f>'9000'!I54</f>
        <v>2651707.31</v>
      </c>
      <c r="AS54" s="79">
        <f>IF(AR54=0,"%",AQ54/AR54)</f>
        <v>0.25640920754560959</v>
      </c>
      <c r="AT54" s="77"/>
      <c r="AU54" s="77"/>
      <c r="AV54" s="121">
        <f>H54+M54+R54+W54+AB54+AG54+AL54++AQ54</f>
        <v>679922.17</v>
      </c>
      <c r="AW54" s="121">
        <f>I54+N54+S54+X54+AC54+AH54+AM54++AR54</f>
        <v>3521794.31</v>
      </c>
      <c r="AX54" s="92">
        <f>IF(AW54=0,"%",AV54/AW54)</f>
        <v>0.1930612949397377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6" t="s">
        <v>17</v>
      </c>
      <c r="D55" s="106" t="s">
        <v>43</v>
      </c>
      <c r="E55" s="107">
        <v>9700</v>
      </c>
      <c r="F55" s="76"/>
      <c r="G55" s="91">
        <v>0</v>
      </c>
      <c r="H55" s="91">
        <f>'1351'!H55</f>
        <v>108364.63</v>
      </c>
      <c r="I55" s="91">
        <v>570554.80000000005</v>
      </c>
      <c r="J55" s="79">
        <v>0</v>
      </c>
      <c r="K55" s="100"/>
      <c r="L55" s="108">
        <v>0</v>
      </c>
      <c r="M55" s="108">
        <f>'1361'!H57</f>
        <v>128785.12000000001</v>
      </c>
      <c r="N55" s="109">
        <f>'1361'!I57</f>
        <v>674180.4</v>
      </c>
      <c r="O55" s="79">
        <f>IF(N55=0,"%",M55/N55)</f>
        <v>0.19102471682653485</v>
      </c>
      <c r="P55" s="100"/>
      <c r="Q55" s="108" t="e">
        <f>G55+L55+#REF!</f>
        <v>#REF!</v>
      </c>
      <c r="R55" s="108">
        <f>'1401'!H57</f>
        <v>105064.83</v>
      </c>
      <c r="S55" s="109">
        <f>'1401'!I57</f>
        <v>534771</v>
      </c>
      <c r="T55" s="79">
        <f>IF(S55=0,"%",R55/S55)</f>
        <v>0.19646695501438935</v>
      </c>
      <c r="U55" s="76"/>
      <c r="V55" s="77"/>
      <c r="W55" s="108">
        <f>'1421'!H57</f>
        <v>92275.109999999986</v>
      </c>
      <c r="X55" s="109">
        <f>'1421'!I57</f>
        <v>462317.8</v>
      </c>
      <c r="Y55" s="79">
        <f>IF(X55=0,"%",W55/X55)</f>
        <v>0.19959237996027837</v>
      </c>
      <c r="Z55" s="77"/>
      <c r="AA55" s="77"/>
      <c r="AB55" s="108">
        <f>'1601'!H57</f>
        <v>195589.25</v>
      </c>
      <c r="AC55" s="109">
        <f>'1601'!I57</f>
        <v>1050760.8</v>
      </c>
      <c r="AD55" s="79">
        <f>IF(AC55=0,"%",AB55/AC55)</f>
        <v>0.18614060402710111</v>
      </c>
      <c r="AE55" s="77"/>
      <c r="AF55" s="108">
        <f>'1401'!V57</f>
        <v>36152.619999999995</v>
      </c>
      <c r="AG55" s="108">
        <f>'1621'!H58</f>
        <v>178983.15000000002</v>
      </c>
      <c r="AH55" s="109">
        <f>'1621'!I58</f>
        <v>1097348</v>
      </c>
      <c r="AI55" s="79">
        <f>IF(AH55=0,"%",AG55/AH55)</f>
        <v>0.16310518632193252</v>
      </c>
      <c r="AJ55" s="77"/>
      <c r="AK55" s="77"/>
      <c r="AL55" s="108">
        <f>'1721'!H57</f>
        <v>379279.64</v>
      </c>
      <c r="AM55" s="109">
        <f>'1721'!I57</f>
        <v>1847905</v>
      </c>
      <c r="AN55" s="79">
        <f>IF(AM55=0,"%",AL55/AM55)</f>
        <v>0.20524845162494826</v>
      </c>
      <c r="AO55" s="77"/>
      <c r="AP55" s="77"/>
      <c r="AQ55" s="108">
        <f>'9000'!H55</f>
        <v>0</v>
      </c>
      <c r="AR55" s="109">
        <f>'9000'!I55</f>
        <v>40000</v>
      </c>
      <c r="AS55" s="79">
        <f>IF(AR55=0,"%",AQ55/AR55)</f>
        <v>0</v>
      </c>
      <c r="AT55" s="77"/>
      <c r="AU55" s="77"/>
      <c r="AV55" s="121">
        <f>H55+M55+R55+W55+AB55+AG55+AL55++AQ55</f>
        <v>1188341.73</v>
      </c>
      <c r="AW55" s="121">
        <f>I55+N55+S55+X55+AC55+AH55+AM55++AR55</f>
        <v>6277837.7999999998</v>
      </c>
      <c r="AX55" s="92">
        <f>IF(AW55=0,"%",AV55/AW55)</f>
        <v>0.18929156309199324</v>
      </c>
    </row>
    <row r="56" spans="1:50" ht="27.75" customHeight="1" x14ac:dyDescent="0.25">
      <c r="A56" s="45"/>
      <c r="B56" s="46"/>
      <c r="C56" s="80" t="s">
        <v>44</v>
      </c>
      <c r="D56" s="76"/>
      <c r="E56" s="76"/>
      <c r="F56" s="76"/>
      <c r="G56" s="101">
        <f>SUM(G54:G55)</f>
        <v>0</v>
      </c>
      <c r="H56" s="101">
        <f>H54-H55</f>
        <v>-108364.63</v>
      </c>
      <c r="I56" s="101">
        <f>I54-I55</f>
        <v>-520378.80000000005</v>
      </c>
      <c r="J56" s="102">
        <v>0</v>
      </c>
      <c r="K56" s="100"/>
      <c r="L56" s="101">
        <f>SUM(L54:L55)</f>
        <v>0</v>
      </c>
      <c r="M56" s="101">
        <f>M54-M55</f>
        <v>-128785.12000000001</v>
      </c>
      <c r="N56" s="101">
        <f>SUM(N54:N55)</f>
        <v>771823.4</v>
      </c>
      <c r="O56" s="102">
        <f>IF(N56=0,"",M56/N56)</f>
        <v>-0.16685827353770305</v>
      </c>
      <c r="P56" s="100"/>
      <c r="Q56" s="101" t="e">
        <f>SUM(Q54:Q55)</f>
        <v>#REF!</v>
      </c>
      <c r="R56" s="101">
        <f>R54-R55</f>
        <v>-105064.83</v>
      </c>
      <c r="S56" s="101">
        <f>SUM(S54:S55)</f>
        <v>736188</v>
      </c>
      <c r="T56" s="102">
        <f>IF(S56=0,"",R56/S56)</f>
        <v>-0.14271467342580971</v>
      </c>
      <c r="U56" s="76"/>
      <c r="V56" s="77"/>
      <c r="W56" s="101">
        <f>W54-W55</f>
        <v>-92275.109999999986</v>
      </c>
      <c r="X56" s="101">
        <f>SUM(X54:X55)</f>
        <v>584653.80000000005</v>
      </c>
      <c r="Y56" s="102">
        <f>IF(X56=0,"",W56/X56)</f>
        <v>-0.15782863294482988</v>
      </c>
      <c r="Z56" s="77"/>
      <c r="AA56" s="77"/>
      <c r="AB56" s="101">
        <f>AB54-AB55</f>
        <v>-195589.25</v>
      </c>
      <c r="AC56" s="101">
        <f>SUM(AC54:AC55)</f>
        <v>1138086.8</v>
      </c>
      <c r="AD56" s="102">
        <f>IF(AC56=0,"",AB56/AC56)</f>
        <v>-0.17185793737349384</v>
      </c>
      <c r="AE56" s="77"/>
      <c r="AF56" s="101">
        <f>AF54-AF55</f>
        <v>-36152.619999999995</v>
      </c>
      <c r="AG56" s="101">
        <f>AG54-AG55</f>
        <v>-178983.15000000002</v>
      </c>
      <c r="AH56" s="101">
        <f>SUM(AH54:AH55)</f>
        <v>1183695</v>
      </c>
      <c r="AI56" s="102">
        <f>IF(AH56=0,"",AG56/AH56)</f>
        <v>-0.15120715218024916</v>
      </c>
      <c r="AJ56" s="77"/>
      <c r="AK56" s="77"/>
      <c r="AL56" s="101">
        <f>AL54-AL55</f>
        <v>-379279.64</v>
      </c>
      <c r="AM56" s="101">
        <f>SUM(AM54:AM55)</f>
        <v>2072747</v>
      </c>
      <c r="AN56" s="102">
        <f>IF(AM56=0,"",AL56/AM56)</f>
        <v>-0.18298404966935183</v>
      </c>
      <c r="AO56" s="77"/>
      <c r="AP56" s="77"/>
      <c r="AQ56" s="101">
        <f>AQ54-AQ55</f>
        <v>679922.17</v>
      </c>
      <c r="AR56" s="101">
        <f>SUM(AR54:AR55)</f>
        <v>2691707.31</v>
      </c>
      <c r="AS56" s="102">
        <f>IF(AR56=0,"",AQ56/AR56)</f>
        <v>0.2525988496126646</v>
      </c>
      <c r="AT56" s="77"/>
      <c r="AU56" s="77"/>
      <c r="AV56" s="117">
        <f>AV54-AV55</f>
        <v>-508419.55999999994</v>
      </c>
      <c r="AW56" s="117">
        <f>SUM(AW54:AW55)</f>
        <v>9799632.1099999994</v>
      </c>
      <c r="AX56" s="118">
        <f>IF(AW56=0,"",AV56/AW56)</f>
        <v>-5.1881494559493209E-2</v>
      </c>
    </row>
    <row r="57" spans="1:50" ht="16.5" x14ac:dyDescent="0.25">
      <c r="A57" s="45"/>
      <c r="B57" s="46"/>
      <c r="C57" s="76"/>
      <c r="D57" s="76"/>
      <c r="E57" s="76"/>
      <c r="F57" s="76"/>
      <c r="G57" s="100"/>
      <c r="H57" s="100"/>
      <c r="I57" s="100"/>
      <c r="J57" s="79"/>
      <c r="K57" s="100"/>
      <c r="L57" s="100"/>
      <c r="M57" s="100"/>
      <c r="N57" s="100"/>
      <c r="O57" s="79"/>
      <c r="P57" s="100"/>
      <c r="Q57" s="100"/>
      <c r="R57" s="100"/>
      <c r="S57" s="100"/>
      <c r="T57" s="79"/>
      <c r="U57" s="76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120"/>
      <c r="AW57" s="120"/>
      <c r="AX57" s="120"/>
    </row>
    <row r="58" spans="1:50" s="73" customFormat="1" ht="17.25" thickBot="1" x14ac:dyDescent="0.3">
      <c r="A58" s="71"/>
      <c r="B58" s="72"/>
      <c r="C58" s="110" t="s">
        <v>45</v>
      </c>
      <c r="D58" s="111"/>
      <c r="E58" s="111"/>
      <c r="F58" s="111"/>
      <c r="G58" s="112"/>
      <c r="H58" s="112">
        <f>H51+H56</f>
        <v>320903.48</v>
      </c>
      <c r="I58" s="112"/>
      <c r="J58" s="113" t="s">
        <v>96</v>
      </c>
      <c r="K58" s="112"/>
      <c r="L58" s="112"/>
      <c r="M58" s="112">
        <f>M51+M56</f>
        <v>291024.93000000028</v>
      </c>
      <c r="N58" s="112"/>
      <c r="O58" s="112"/>
      <c r="P58" s="112"/>
      <c r="Q58" s="112"/>
      <c r="R58" s="112">
        <f>R51+R56</f>
        <v>216468.89000000007</v>
      </c>
      <c r="S58" s="112"/>
      <c r="T58" s="113" t="str">
        <f>IF(S58=0,"",R58/S58)</f>
        <v/>
      </c>
      <c r="U58" s="111"/>
      <c r="V58" s="111"/>
      <c r="W58" s="114">
        <f>W51+W56</f>
        <v>248057.69000000018</v>
      </c>
      <c r="X58" s="111"/>
      <c r="Y58" s="111"/>
      <c r="Z58" s="111"/>
      <c r="AA58" s="111"/>
      <c r="AB58" s="114">
        <f>AB51+AB56</f>
        <v>313578.75000000035</v>
      </c>
      <c r="AC58" s="111"/>
      <c r="AD58" s="111"/>
      <c r="AE58" s="111"/>
      <c r="AF58" s="111"/>
      <c r="AG58" s="114">
        <f>AG51+AG56</f>
        <v>238935.16000000003</v>
      </c>
      <c r="AH58" s="111"/>
      <c r="AI58" s="111"/>
      <c r="AJ58" s="111"/>
      <c r="AK58" s="111"/>
      <c r="AL58" s="114">
        <f>AL51+AL56</f>
        <v>641493.09</v>
      </c>
      <c r="AM58" s="111"/>
      <c r="AN58" s="111"/>
      <c r="AO58" s="111"/>
      <c r="AP58" s="111"/>
      <c r="AQ58" s="114">
        <f>AQ51+AQ56</f>
        <v>255745.03000000003</v>
      </c>
      <c r="AR58" s="111"/>
      <c r="AS58" s="111"/>
      <c r="AT58" s="111"/>
      <c r="AU58" s="111"/>
      <c r="AV58" s="122">
        <f>AV51+AV56</f>
        <v>2526207.02</v>
      </c>
      <c r="AW58" s="123"/>
      <c r="AX58" s="123"/>
    </row>
    <row r="59" spans="1:50" ht="16.5" x14ac:dyDescent="0.25">
      <c r="C59" s="77"/>
      <c r="D59" s="77"/>
      <c r="E59" s="77"/>
      <c r="F59" s="77"/>
      <c r="G59" s="77"/>
      <c r="H59" s="77"/>
      <c r="I59" s="77"/>
      <c r="J59" s="77" t="s">
        <v>96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115"/>
      <c r="AX59" s="77"/>
    </row>
    <row r="60" spans="1:50" ht="16.5" x14ac:dyDescent="0.25">
      <c r="C60" s="77"/>
      <c r="D60" s="77"/>
      <c r="E60" s="77"/>
      <c r="F60" s="77"/>
      <c r="G60" s="77"/>
      <c r="H60" s="77"/>
      <c r="I60" s="77"/>
      <c r="J60" s="77" t="s">
        <v>96</v>
      </c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6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115">
        <f>AV58-2443078.06</f>
        <v>83128.959999999963</v>
      </c>
      <c r="AW60" s="77"/>
      <c r="AX60" s="77" t="s">
        <v>103</v>
      </c>
    </row>
  </sheetData>
  <mergeCells count="22"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  <mergeCell ref="Q8:T8"/>
    <mergeCell ref="V8:Y8"/>
    <mergeCell ref="AA8:AD8"/>
    <mergeCell ref="G9:J9"/>
    <mergeCell ref="L9:O9"/>
    <mergeCell ref="Q9:T9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2024-09-12T20:36:43Z</cp:lastPrinted>
  <dcterms:created xsi:type="dcterms:W3CDTF">2022-11-03T13:00:31Z</dcterms:created>
  <dcterms:modified xsi:type="dcterms:W3CDTF">2024-10-28T14:13:59Z</dcterms:modified>
</cp:coreProperties>
</file>