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\\tsc-sresource\sresource\WRHSE\BID HISTORY\FY 26 BIDS\26-033 ERATE WAN\"/>
    </mc:Choice>
  </mc:AlternateContent>
  <xr:revisionPtr revIDLastSave="0" documentId="8_{75DE1CE1-1C32-45DA-9A26-911C92FB47DF}" xr6:coauthVersionLast="47" xr6:coauthVersionMax="47" xr10:uidLastSave="{00000000-0000-0000-0000-000000000000}"/>
  <bookViews>
    <workbookView xWindow="-28920" yWindow="75" windowWidth="29040" windowHeight="15720" tabRatio="500" xr2:uid="{00000000-000D-0000-FFFF-FFFF00000000}"/>
  </bookViews>
  <sheets>
    <sheet name="EvalSummary" sheetId="1" r:id="rId1"/>
    <sheet name="pricingEval" sheetId="2" r:id="rId2"/>
    <sheet name="Proposal" sheetId="5" r:id="rId3"/>
    <sheet name="bizReq" sheetId="6" r:id="rId4"/>
    <sheet name="VendorEval" sheetId="9" r:id="rId5"/>
    <sheet name="lineSum" sheetId="8" r:id="rId6"/>
    <sheet name="lineItem" sheetId="10" r:id="rId7"/>
  </sheets>
  <externalReferences>
    <externalReference r:id="rId8"/>
  </externalReferences>
  <definedNames>
    <definedName name="_xlnm._FilterDatabase" localSheetId="6" hidden="1">lineItem!$A$1:$AF$35</definedName>
    <definedName name="_xlnm._FilterDatabase" localSheetId="5" hidden="1">lineSum!$A$1:$L$28</definedName>
    <definedName name="_xlnm._FilterDatabase" localSheetId="1" hidden="1">pricingEval!$A$1:$R$4</definedName>
    <definedName name="_xlnm.Print_Area" localSheetId="1">pricingEval!$A$1:$R$4</definedName>
    <definedName name="_xlnm.Print_Area" localSheetId="2">Proposal!$A$2:$O$7</definedName>
    <definedName name="_xlnm.Print_Area" localSheetId="4">VendorEval!$A$1:$T$6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9" l="1"/>
  <c r="A4" i="9"/>
  <c r="B3" i="9"/>
  <c r="A3" i="9"/>
  <c r="B2" i="9"/>
  <c r="A2" i="9"/>
  <c r="J6" i="6"/>
  <c r="F9" i="1" s="1"/>
  <c r="J5" i="6"/>
  <c r="J4" i="6"/>
  <c r="O5" i="5"/>
  <c r="O4" i="5"/>
  <c r="O3" i="5"/>
  <c r="E9" i="1"/>
  <c r="D9" i="1"/>
  <c r="B9" i="1"/>
  <c r="N5" i="5"/>
  <c r="O5" i="2"/>
  <c r="N5" i="2"/>
  <c r="M5" i="2"/>
  <c r="K5" i="2"/>
  <c r="E5" i="2"/>
  <c r="D5" i="2"/>
  <c r="C5" i="2"/>
  <c r="B5" i="2"/>
  <c r="A5" i="2"/>
  <c r="O4" i="2"/>
  <c r="O3" i="2"/>
  <c r="N4" i="2"/>
  <c r="N3" i="2"/>
  <c r="M4" i="2"/>
  <c r="M3" i="2"/>
  <c r="K4" i="2"/>
  <c r="K3" i="2"/>
  <c r="Q22" i="10"/>
  <c r="R22" i="10" s="1"/>
  <c r="O37" i="10"/>
  <c r="N37" i="10"/>
  <c r="Q13" i="10"/>
  <c r="R13" i="10" s="1"/>
  <c r="Q12" i="10"/>
  <c r="Q11" i="10"/>
  <c r="T11" i="10" s="1"/>
  <c r="Q10" i="10"/>
  <c r="R10" i="10" s="1"/>
  <c r="Q9" i="10"/>
  <c r="T9" i="10" s="1"/>
  <c r="Q8" i="10"/>
  <c r="Q7" i="10"/>
  <c r="R7" i="10" s="1"/>
  <c r="Q6" i="10"/>
  <c r="Q5" i="10"/>
  <c r="Q4" i="10"/>
  <c r="Q3" i="10"/>
  <c r="T3" i="10" s="1"/>
  <c r="Q2" i="10"/>
  <c r="T2" i="10" s="1"/>
  <c r="Q21" i="10"/>
  <c r="R21" i="10" s="1"/>
  <c r="Q20" i="10"/>
  <c r="R20" i="10" s="1"/>
  <c r="Q19" i="10"/>
  <c r="Q18" i="10"/>
  <c r="R18" i="10" s="1"/>
  <c r="Q17" i="10"/>
  <c r="R17" i="10" s="1"/>
  <c r="Q16" i="10"/>
  <c r="R16" i="10" s="1"/>
  <c r="Q15" i="10"/>
  <c r="R15" i="10" s="1"/>
  <c r="Q14" i="10"/>
  <c r="T22" i="10" l="1"/>
  <c r="R12" i="10"/>
  <c r="T12" i="10"/>
  <c r="U12" i="10" s="1"/>
  <c r="W11" i="10"/>
  <c r="Y11" i="10" s="1"/>
  <c r="U11" i="10"/>
  <c r="T13" i="10"/>
  <c r="U13" i="10" s="1"/>
  <c r="R11" i="10"/>
  <c r="T10" i="10"/>
  <c r="U10" i="10" s="1"/>
  <c r="T7" i="10"/>
  <c r="U7" i="10" s="1"/>
  <c r="R8" i="10"/>
  <c r="T8" i="10"/>
  <c r="U8" i="10" s="1"/>
  <c r="U9" i="10"/>
  <c r="R9" i="10"/>
  <c r="R6" i="10"/>
  <c r="T6" i="10"/>
  <c r="U6" i="10" s="1"/>
  <c r="W9" i="10"/>
  <c r="Y9" i="10" s="1"/>
  <c r="R3" i="10"/>
  <c r="U3" i="10"/>
  <c r="R4" i="10"/>
  <c r="U2" i="10"/>
  <c r="T4" i="10"/>
  <c r="U4" i="10" s="1"/>
  <c r="R2" i="10"/>
  <c r="R5" i="10"/>
  <c r="T5" i="10"/>
  <c r="U5" i="10" s="1"/>
  <c r="W2" i="10"/>
  <c r="Y2" i="10" s="1"/>
  <c r="W3" i="10"/>
  <c r="Y3" i="10" s="1"/>
  <c r="T21" i="10"/>
  <c r="T20" i="10"/>
  <c r="U20" i="10" s="1"/>
  <c r="R19" i="10"/>
  <c r="T19" i="10"/>
  <c r="T18" i="10"/>
  <c r="U18" i="10" s="1"/>
  <c r="T15" i="10"/>
  <c r="T16" i="10"/>
  <c r="T17" i="10"/>
  <c r="R14" i="10"/>
  <c r="T14" i="10"/>
  <c r="Q31" i="10"/>
  <c r="R31" i="10" s="1"/>
  <c r="Q30" i="10"/>
  <c r="R30" i="10" s="1"/>
  <c r="Q29" i="10"/>
  <c r="T29" i="10" s="1"/>
  <c r="W29" i="10" s="1"/>
  <c r="Q28" i="10"/>
  <c r="Q27" i="10"/>
  <c r="Q26" i="10"/>
  <c r="R26" i="10" s="1"/>
  <c r="Q25" i="10"/>
  <c r="R25" i="10" s="1"/>
  <c r="Q24" i="10"/>
  <c r="T24" i="10" s="1"/>
  <c r="Q35" i="10"/>
  <c r="Q34" i="10"/>
  <c r="Q33" i="10"/>
  <c r="T33" i="10" s="1"/>
  <c r="Q32" i="10"/>
  <c r="R32" i="10" s="1"/>
  <c r="Q23" i="10"/>
  <c r="T23" i="10" s="1"/>
  <c r="W12" i="10" l="1"/>
  <c r="Y12" i="10" s="1"/>
  <c r="Z12" i="10" s="1"/>
  <c r="Z2" i="10"/>
  <c r="AE2" i="10"/>
  <c r="AF2" i="10" s="1"/>
  <c r="Z9" i="10"/>
  <c r="AE9" i="10"/>
  <c r="AF9" i="10" s="1"/>
  <c r="Z3" i="10"/>
  <c r="AE3" i="10"/>
  <c r="AF3" i="10" s="1"/>
  <c r="W22" i="10"/>
  <c r="Y22" i="10" s="1"/>
  <c r="U22" i="10"/>
  <c r="Q37" i="10"/>
  <c r="U14" i="10"/>
  <c r="X11" i="10"/>
  <c r="W13" i="10"/>
  <c r="Y13" i="10" s="1"/>
  <c r="Z11" i="10"/>
  <c r="AE11" i="10"/>
  <c r="AF11" i="10" s="1"/>
  <c r="W7" i="10"/>
  <c r="Y7" i="10" s="1"/>
  <c r="W8" i="10"/>
  <c r="Y8" i="10" s="1"/>
  <c r="W10" i="10"/>
  <c r="Y10" i="10" s="1"/>
  <c r="AE10" i="10" s="1"/>
  <c r="W6" i="10"/>
  <c r="Y6" i="10" s="1"/>
  <c r="X9" i="10"/>
  <c r="W5" i="10"/>
  <c r="Y5" i="10" s="1"/>
  <c r="W4" i="10"/>
  <c r="Y4" i="10" s="1"/>
  <c r="X2" i="10"/>
  <c r="X3" i="10"/>
  <c r="W18" i="10"/>
  <c r="Y18" i="10" s="1"/>
  <c r="W21" i="10"/>
  <c r="Y21" i="10" s="1"/>
  <c r="U21" i="10"/>
  <c r="W20" i="10"/>
  <c r="Y20" i="10" s="1"/>
  <c r="W19" i="10"/>
  <c r="Y19" i="10" s="1"/>
  <c r="U19" i="10"/>
  <c r="W17" i="10"/>
  <c r="Y17" i="10" s="1"/>
  <c r="W16" i="10"/>
  <c r="Y16" i="10" s="1"/>
  <c r="W15" i="10"/>
  <c r="Y15" i="10" s="1"/>
  <c r="U17" i="10"/>
  <c r="U15" i="10"/>
  <c r="U16" i="10"/>
  <c r="W14" i="10"/>
  <c r="T31" i="10"/>
  <c r="U31" i="10" s="1"/>
  <c r="T25" i="10"/>
  <c r="W25" i="10" s="1"/>
  <c r="Y25" i="10" s="1"/>
  <c r="T32" i="10"/>
  <c r="W32" i="10" s="1"/>
  <c r="Y32" i="10" s="1"/>
  <c r="Z32" i="10" s="1"/>
  <c r="T28" i="10"/>
  <c r="U29" i="10"/>
  <c r="R27" i="10"/>
  <c r="T27" i="10"/>
  <c r="X29" i="10"/>
  <c r="Y29" i="10"/>
  <c r="T30" i="10"/>
  <c r="R28" i="10"/>
  <c r="R29" i="10"/>
  <c r="R24" i="10"/>
  <c r="T26" i="10"/>
  <c r="U24" i="10"/>
  <c r="W24" i="10"/>
  <c r="Y24" i="10" s="1"/>
  <c r="R23" i="10"/>
  <c r="R33" i="10"/>
  <c r="U23" i="10"/>
  <c r="W23" i="10"/>
  <c r="Y23" i="10" s="1"/>
  <c r="Z23" i="10" s="1"/>
  <c r="U33" i="10"/>
  <c r="R34" i="10"/>
  <c r="W33" i="10"/>
  <c r="Y33" i="10" s="1"/>
  <c r="T34" i="10"/>
  <c r="U34" i="10" s="1"/>
  <c r="R35" i="10"/>
  <c r="T35" i="10"/>
  <c r="U35" i="10" s="1"/>
  <c r="AE12" i="10" l="1"/>
  <c r="AF12" i="10" s="1"/>
  <c r="X12" i="10"/>
  <c r="Z22" i="10"/>
  <c r="AE22" i="10"/>
  <c r="AF22" i="10" s="1"/>
  <c r="Z19" i="10"/>
  <c r="AE19" i="10"/>
  <c r="AF19" i="10" s="1"/>
  <c r="Z20" i="10"/>
  <c r="AE20" i="10"/>
  <c r="AF20" i="10" s="1"/>
  <c r="Z21" i="10"/>
  <c r="AE21" i="10"/>
  <c r="AF21" i="10" s="1"/>
  <c r="Z15" i="10"/>
  <c r="AE15" i="10"/>
  <c r="AF15" i="10" s="1"/>
  <c r="Z18" i="10"/>
  <c r="AE18" i="10"/>
  <c r="AF18" i="10" s="1"/>
  <c r="Z16" i="10"/>
  <c r="AE16" i="10"/>
  <c r="AF16" i="10" s="1"/>
  <c r="Z17" i="10"/>
  <c r="AE17" i="10"/>
  <c r="AF17" i="10" s="1"/>
  <c r="Z4" i="10"/>
  <c r="AE4" i="10"/>
  <c r="AF4" i="10" s="1"/>
  <c r="Z6" i="10"/>
  <c r="AE6" i="10"/>
  <c r="AF6" i="10" s="1"/>
  <c r="Z8" i="10"/>
  <c r="AE8" i="10"/>
  <c r="AF8" i="10" s="1"/>
  <c r="Z5" i="10"/>
  <c r="AE5" i="10"/>
  <c r="AF5" i="10" s="1"/>
  <c r="Z7" i="10"/>
  <c r="AE7" i="10"/>
  <c r="AF7" i="10" s="1"/>
  <c r="R37" i="10"/>
  <c r="X22" i="10"/>
  <c r="AF10" i="10"/>
  <c r="T37" i="10"/>
  <c r="Y14" i="10"/>
  <c r="AE14" i="10" s="1"/>
  <c r="AF14" i="10" s="1"/>
  <c r="X7" i="10"/>
  <c r="X8" i="10"/>
  <c r="Z10" i="10"/>
  <c r="X13" i="10"/>
  <c r="AE13" i="10"/>
  <c r="AF13" i="10" s="1"/>
  <c r="Z13" i="10"/>
  <c r="X19" i="10"/>
  <c r="X5" i="10"/>
  <c r="X10" i="10"/>
  <c r="X4" i="10"/>
  <c r="X6" i="10"/>
  <c r="X18" i="10"/>
  <c r="X21" i="10"/>
  <c r="X20" i="10"/>
  <c r="X14" i="10"/>
  <c r="X15" i="10"/>
  <c r="X16" i="10"/>
  <c r="X17" i="10"/>
  <c r="AE32" i="10"/>
  <c r="AF32" i="10" s="1"/>
  <c r="W31" i="10"/>
  <c r="Y31" i="10" s="1"/>
  <c r="AE31" i="10" s="1"/>
  <c r="AF31" i="10" s="1"/>
  <c r="U25" i="10"/>
  <c r="U32" i="10"/>
  <c r="X32" i="10"/>
  <c r="X25" i="10"/>
  <c r="AE23" i="10"/>
  <c r="AF23" i="10" s="1"/>
  <c r="W28" i="10"/>
  <c r="Y28" i="10" s="1"/>
  <c r="U28" i="10"/>
  <c r="W27" i="10"/>
  <c r="Y27" i="10" s="1"/>
  <c r="U27" i="10"/>
  <c r="W30" i="10"/>
  <c r="Y30" i="10" s="1"/>
  <c r="U30" i="10"/>
  <c r="AE29" i="10"/>
  <c r="AF29" i="10" s="1"/>
  <c r="Z29" i="10"/>
  <c r="W26" i="10"/>
  <c r="Y26" i="10" s="1"/>
  <c r="U26" i="10"/>
  <c r="AE25" i="10"/>
  <c r="AF25" i="10" s="1"/>
  <c r="Z25" i="10"/>
  <c r="X24" i="10"/>
  <c r="AE24" i="10"/>
  <c r="AF24" i="10" s="1"/>
  <c r="Z24" i="10"/>
  <c r="X23" i="10"/>
  <c r="W34" i="10"/>
  <c r="Y34" i="10" s="1"/>
  <c r="AE33" i="10"/>
  <c r="AF33" i="10" s="1"/>
  <c r="Z33" i="10"/>
  <c r="W35" i="10"/>
  <c r="Y35" i="10" s="1"/>
  <c r="X33" i="10"/>
  <c r="U37" i="10" l="1"/>
  <c r="W37" i="10"/>
  <c r="Z14" i="10"/>
  <c r="Y37" i="10"/>
  <c r="X31" i="10"/>
  <c r="Z31" i="10"/>
  <c r="X28" i="10"/>
  <c r="AE28" i="10"/>
  <c r="AF28" i="10" s="1"/>
  <c r="Z28" i="10"/>
  <c r="Z27" i="10"/>
  <c r="AE27" i="10"/>
  <c r="AF27" i="10" s="1"/>
  <c r="X27" i="10"/>
  <c r="AE30" i="10"/>
  <c r="AF30" i="10" s="1"/>
  <c r="Z30" i="10"/>
  <c r="X30" i="10"/>
  <c r="AE26" i="10"/>
  <c r="AF26" i="10" s="1"/>
  <c r="Z26" i="10"/>
  <c r="X26" i="10"/>
  <c r="X35" i="10"/>
  <c r="X34" i="10"/>
  <c r="AE35" i="10"/>
  <c r="AF35" i="10" s="1"/>
  <c r="Z35" i="10"/>
  <c r="AE34" i="10"/>
  <c r="AF34" i="10" s="1"/>
  <c r="Z34" i="10"/>
  <c r="X37" i="10" l="1"/>
  <c r="AE37" i="10"/>
  <c r="AF37" i="10"/>
  <c r="Z37" i="10"/>
  <c r="I20" i="8"/>
  <c r="I15" i="8"/>
  <c r="I13" i="8"/>
  <c r="I9" i="8"/>
  <c r="I5" i="8"/>
  <c r="I3" i="8"/>
  <c r="I28" i="8"/>
  <c r="I27" i="8"/>
  <c r="I26" i="8"/>
  <c r="I25" i="8"/>
  <c r="I24" i="8"/>
  <c r="I23" i="8"/>
  <c r="I22" i="8"/>
  <c r="I21" i="8"/>
  <c r="I19" i="8"/>
  <c r="I18" i="8"/>
  <c r="I17" i="8"/>
  <c r="I16" i="8"/>
  <c r="I14" i="8"/>
  <c r="I12" i="8"/>
  <c r="N4" i="5" l="1"/>
  <c r="N3" i="5"/>
  <c r="E4" i="9"/>
  <c r="D4" i="9"/>
  <c r="E3" i="9"/>
  <c r="D3" i="9"/>
  <c r="E2" i="9"/>
  <c r="D2" i="9"/>
  <c r="N4" i="9"/>
  <c r="P4" i="9" s="1" a="1"/>
  <c r="P4" i="9" s="1"/>
  <c r="K4" i="9"/>
  <c r="M4" i="9" s="1" a="1"/>
  <c r="M4" i="9" s="1"/>
  <c r="C4" i="9"/>
  <c r="N3" i="9"/>
  <c r="P3" i="9" s="1" a="1"/>
  <c r="P3" i="9" s="1"/>
  <c r="K3" i="9"/>
  <c r="M3" i="9" s="1" a="1"/>
  <c r="M3" i="9" s="1"/>
  <c r="C3" i="9"/>
  <c r="N2" i="9"/>
  <c r="P2" i="9" s="1" a="1"/>
  <c r="P2" i="9" s="1"/>
  <c r="K2" i="9"/>
  <c r="M2" i="9" s="1" a="1"/>
  <c r="M2" i="9" s="1"/>
  <c r="C2" i="9"/>
  <c r="R2" i="9" l="1"/>
  <c r="R3" i="9"/>
  <c r="R4" i="9"/>
  <c r="S3" i="9" l="1"/>
  <c r="G8" i="1" s="1"/>
  <c r="S2" i="9"/>
  <c r="G7" i="1" s="1"/>
  <c r="S4" i="9"/>
  <c r="G9" i="1" s="1"/>
  <c r="H9" i="1" s="1"/>
  <c r="B8" i="1" l="1"/>
  <c r="B7" i="1"/>
  <c r="E6" i="6" l="1"/>
  <c r="D6" i="6"/>
  <c r="E5" i="6"/>
  <c r="D5" i="6"/>
  <c r="E4" i="6"/>
  <c r="D4" i="6"/>
  <c r="E5" i="5"/>
  <c r="D5" i="5"/>
  <c r="E4" i="5"/>
  <c r="D4" i="5"/>
  <c r="E3" i="5"/>
  <c r="D3" i="5"/>
  <c r="E4" i="2"/>
  <c r="D4" i="2"/>
  <c r="E3" i="2"/>
  <c r="D3" i="2"/>
  <c r="I8" i="8"/>
  <c r="I7" i="8"/>
  <c r="I6" i="8"/>
  <c r="I4" i="8"/>
  <c r="I2" i="8"/>
  <c r="I10" i="8"/>
  <c r="I11" i="8"/>
  <c r="I29" i="8" l="1"/>
  <c r="B6" i="6"/>
  <c r="A6" i="6"/>
  <c r="B5" i="6"/>
  <c r="A5" i="6"/>
  <c r="I6" i="6"/>
  <c r="C6" i="6"/>
  <c r="I5" i="6"/>
  <c r="C5" i="6"/>
  <c r="B4" i="6"/>
  <c r="A4" i="6"/>
  <c r="B5" i="5"/>
  <c r="A5" i="5"/>
  <c r="B4" i="5"/>
  <c r="A4" i="5"/>
  <c r="B3" i="5"/>
  <c r="A3" i="5"/>
  <c r="B4" i="2"/>
  <c r="A4" i="2"/>
  <c r="B3" i="2"/>
  <c r="A3" i="2"/>
  <c r="C5" i="5"/>
  <c r="C4" i="5"/>
  <c r="C4" i="2"/>
  <c r="C4" i="6"/>
  <c r="C3" i="5"/>
  <c r="C3" i="2"/>
  <c r="I4" i="6" l="1"/>
  <c r="F8" i="1" l="1"/>
  <c r="D7" i="1"/>
  <c r="D8" i="1"/>
  <c r="E8" i="1"/>
  <c r="E7" i="1"/>
  <c r="H8" i="1" l="1"/>
  <c r="F7" i="1"/>
  <c r="H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<sst xmlns="http://schemas.openxmlformats.org/spreadsheetml/2006/main" count="168" uniqueCount="111">
  <si>
    <t>Vendor</t>
  </si>
  <si>
    <t>Submission Dt</t>
  </si>
  <si>
    <t>BEN</t>
  </si>
  <si>
    <t>BENName</t>
  </si>
  <si>
    <t>470 ID</t>
  </si>
  <si>
    <t>SPIN</t>
  </si>
  <si>
    <t>svcProvider</t>
  </si>
  <si>
    <t>cost score</t>
  </si>
  <si>
    <t>notes</t>
  </si>
  <si>
    <t>unauth comms penalty</t>
  </si>
  <si>
    <t>subtotal</t>
  </si>
  <si>
    <t>svcPrvdr</t>
  </si>
  <si>
    <t>SvcType</t>
  </si>
  <si>
    <t>Committed Amount</t>
  </si>
  <si>
    <t>Total Authorized Disbursement</t>
  </si>
  <si>
    <t>progFnds</t>
  </si>
  <si>
    <t>utilRate</t>
  </si>
  <si>
    <t>progFndsWeight</t>
  </si>
  <si>
    <t>progFndsScore</t>
  </si>
  <si>
    <t>utilWeight</t>
  </si>
  <si>
    <t>utilScore</t>
  </si>
  <si>
    <t>Erate pts</t>
  </si>
  <si>
    <t>SvcProvider</t>
  </si>
  <si>
    <t>req weights:</t>
  </si>
  <si>
    <t>conforming response</t>
  </si>
  <si>
    <t>Total Eval score</t>
  </si>
  <si>
    <t>contract duration</t>
  </si>
  <si>
    <t>est tax &amp; fees</t>
  </si>
  <si>
    <t>eligible cost score</t>
  </si>
  <si>
    <t>total cost score</t>
  </si>
  <si>
    <t>Proposal Score</t>
  </si>
  <si>
    <t>pricing increments</t>
  </si>
  <si>
    <t>cost of
change</t>
  </si>
  <si>
    <t>Proposal Points</t>
  </si>
  <si>
    <t>BizReq</t>
  </si>
  <si>
    <t>DistrictScore</t>
  </si>
  <si>
    <t>biz req score</t>
  </si>
  <si>
    <t>Vendor Score</t>
  </si>
  <si>
    <t>Vendor score</t>
  </si>
  <si>
    <t>Subscore</t>
  </si>
  <si>
    <t>C2</t>
  </si>
  <si>
    <t>equipment</t>
  </si>
  <si>
    <t>price</t>
  </si>
  <si>
    <t>eligible price</t>
  </si>
  <si>
    <t>non-eligible price</t>
  </si>
  <si>
    <t>net contract price</t>
  </si>
  <si>
    <t>Price Score</t>
  </si>
  <si>
    <t>Note: 2020-2024 E-Rate funding (C2 svcs - all entity types)</t>
  </si>
  <si>
    <t>470ID</t>
  </si>
  <si>
    <r>
      <t xml:space="preserve">Funding Request
</t>
    </r>
    <r>
      <rPr>
        <i/>
        <sz val="8"/>
        <color theme="1"/>
        <rFont val="Calibri"/>
        <family val="2"/>
        <scheme val="minor"/>
      </rPr>
      <t>(2020-2024)</t>
    </r>
  </si>
  <si>
    <t>470:</t>
  </si>
  <si>
    <t>Entity:</t>
  </si>
  <si>
    <t>BEN:</t>
  </si>
  <si>
    <t>vendor</t>
  </si>
  <si>
    <t>quote#</t>
  </si>
  <si>
    <t>make</t>
  </si>
  <si>
    <t>model*</t>
  </si>
  <si>
    <t>**ea</t>
  </si>
  <si>
    <t>qty*</t>
  </si>
  <si>
    <t>extend</t>
  </si>
  <si>
    <t>eRate
Eligibility</t>
  </si>
  <si>
    <t>note</t>
  </si>
  <si>
    <t>view</t>
  </si>
  <si>
    <t>spec</t>
  </si>
  <si>
    <t>item/line</t>
  </si>
  <si>
    <t>productType</t>
  </si>
  <si>
    <t>alt</t>
  </si>
  <si>
    <t>Houston CSD</t>
  </si>
  <si>
    <t>svc exp</t>
  </si>
  <si>
    <t>support</t>
  </si>
  <si>
    <t>ben</t>
  </si>
  <si>
    <t>applicant</t>
  </si>
  <si>
    <t>ein</t>
  </si>
  <si>
    <t>470/quote</t>
  </si>
  <si>
    <t>itemNum</t>
  </si>
  <si>
    <t>site</t>
  </si>
  <si>
    <t>svcID</t>
  </si>
  <si>
    <t>ICType</t>
  </si>
  <si>
    <t>model</t>
  </si>
  <si>
    <t>sku</t>
  </si>
  <si>
    <t>count</t>
  </si>
  <si>
    <t>unit</t>
  </si>
  <si>
    <t>svcElig%</t>
  </si>
  <si>
    <t>svcElig$</t>
  </si>
  <si>
    <t>svcInelig$</t>
  </si>
  <si>
    <t>popElig%</t>
  </si>
  <si>
    <t>popElig$</t>
  </si>
  <si>
    <t>popInelig$</t>
  </si>
  <si>
    <t>budget%</t>
  </si>
  <si>
    <t>budgetElig</t>
  </si>
  <si>
    <t>budgetInelig</t>
  </si>
  <si>
    <t>471Elig$</t>
  </si>
  <si>
    <t>471Inelig$</t>
  </si>
  <si>
    <t>frn</t>
  </si>
  <si>
    <t>frnLine</t>
  </si>
  <si>
    <t>est%</t>
  </si>
  <si>
    <t>expectedSLD</t>
  </si>
  <si>
    <t>expectedDistrict</t>
  </si>
  <si>
    <t>inelig cost</t>
  </si>
  <si>
    <t>40 pts</t>
  </si>
  <si>
    <t>30 pts</t>
  </si>
  <si>
    <t>20 pts</t>
  </si>
  <si>
    <t>10 pts</t>
  </si>
  <si>
    <t>100 pts</t>
  </si>
  <si>
    <t>dark</t>
  </si>
  <si>
    <t>lit</t>
  </si>
  <si>
    <t>Note - the "equipment" column represents the expected cost of equipment to light fiber over the course of the term. The district currently has a dark fiber configuration and none of the equipmetn used to light the fiber is targeted for upgrade or replacemnt prior to 06/30/2027</t>
  </si>
  <si>
    <t>ttl eligible</t>
  </si>
  <si>
    <t>Segra</t>
  </si>
  <si>
    <t>Kinetic (dark)</t>
  </si>
  <si>
    <t>Kinetic (lit)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</si>
</sst>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"/>
  </numFmts>
  <fonts count="2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59666D"/>
      <name val="Calibre"/>
    </font>
    <font>
      <sz val="12"/>
      <color rgb="FF000000"/>
      <name val="Arial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i/>
      <sz val="12"/>
      <color theme="0" tint="-0.499984740745262"/>
      <name val="Calibri"/>
      <family val="2"/>
      <scheme val="minor"/>
    </font>
    <font>
      <i/>
      <sz val="12"/>
      <color theme="6"/>
      <name val="Calibri"/>
      <family val="2"/>
      <scheme val="minor"/>
    </font>
    <font>
      <sz val="12"/>
      <color rgb="FF000000"/>
      <name val="Verdana"/>
      <family val="2"/>
    </font>
    <font>
      <i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i/>
      <sz val="9"/>
      <color theme="6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0">
    <xf numFmtId="0" fontId="0" fillId="0" borderId="0"/>
    <xf numFmtId="0" fontId="7" fillId="0" borderId="0"/>
    <xf numFmtId="0" fontId="5" fillId="0" borderId="0"/>
    <xf numFmtId="0" fontId="17" fillId="0" borderId="0"/>
    <xf numFmtId="0" fontId="20" fillId="0" borderId="0"/>
    <xf numFmtId="0" fontId="4" fillId="4" borderId="0" applyNumberFormat="0" applyBorder="0" applyAlignment="0" applyProtection="0"/>
    <xf numFmtId="0" fontId="3" fillId="0" borderId="0"/>
    <xf numFmtId="0" fontId="21" fillId="0" borderId="0"/>
    <xf numFmtId="0" fontId="2" fillId="0" borderId="0"/>
    <xf numFmtId="0" fontId="1" fillId="0" borderId="0"/>
  </cellStyleXfs>
  <cellXfs count="114">
    <xf numFmtId="0" fontId="0" fillId="0" borderId="0" xfId="0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7" fillId="3" borderId="1" xfId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 applyAlignment="1">
      <alignment horizontal="left"/>
    </xf>
    <xf numFmtId="0" fontId="13" fillId="2" borderId="7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2" fontId="11" fillId="2" borderId="9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2" fontId="11" fillId="2" borderId="0" xfId="0" applyNumberFormat="1" applyFont="1" applyFill="1" applyAlignment="1">
      <alignment horizontal="center" vertical="center"/>
    </xf>
    <xf numFmtId="0" fontId="0" fillId="3" borderId="10" xfId="0" applyFill="1" applyBorder="1" applyAlignment="1">
      <alignment horizontal="center"/>
    </xf>
    <xf numFmtId="4" fontId="12" fillId="2" borderId="0" xfId="0" applyNumberFormat="1" applyFont="1" applyFill="1" applyAlignment="1">
      <alignment horizontal="center" vertical="center"/>
    </xf>
    <xf numFmtId="4" fontId="11" fillId="2" borderId="0" xfId="0" applyNumberFormat="1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0" fillId="2" borderId="12" xfId="0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164" fontId="0" fillId="2" borderId="12" xfId="0" applyNumberFormat="1" applyFill="1" applyBorder="1" applyAlignment="1">
      <alignment horizontal="center" vertical="center"/>
    </xf>
    <xf numFmtId="2" fontId="11" fillId="2" borderId="12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4" fontId="0" fillId="2" borderId="13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 vertical="center"/>
    </xf>
    <xf numFmtId="4" fontId="12" fillId="2" borderId="12" xfId="0" applyNumberFormat="1" applyFont="1" applyFill="1" applyBorder="1" applyAlignment="1">
      <alignment horizontal="center" vertical="center"/>
    </xf>
    <xf numFmtId="4" fontId="11" fillId="2" borderId="12" xfId="0" applyNumberFormat="1" applyFont="1" applyFill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" fontId="0" fillId="2" borderId="0" xfId="0" applyNumberFormat="1" applyFill="1" applyAlignment="1">
      <alignment horizontal="center"/>
    </xf>
    <xf numFmtId="0" fontId="5" fillId="3" borderId="1" xfId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49" fontId="0" fillId="2" borderId="0" xfId="0" applyNumberFormat="1" applyFill="1" applyAlignment="1">
      <alignment horizontal="right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1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2" fontId="0" fillId="0" borderId="13" xfId="0" applyNumberFormat="1" applyBorder="1" applyAlignment="1">
      <alignment horizontal="center" vertical="center"/>
    </xf>
    <xf numFmtId="0" fontId="2" fillId="3" borderId="1" xfId="8" applyFill="1" applyBorder="1" applyAlignment="1">
      <alignment horizontal="center" vertical="center"/>
    </xf>
    <xf numFmtId="43" fontId="2" fillId="3" borderId="1" xfId="8" applyNumberFormat="1" applyFill="1" applyBorder="1" applyAlignment="1">
      <alignment horizontal="center" vertical="center" wrapText="1"/>
    </xf>
    <xf numFmtId="43" fontId="2" fillId="3" borderId="1" xfId="8" applyNumberFormat="1" applyFill="1" applyBorder="1" applyAlignment="1">
      <alignment horizontal="center" vertical="center"/>
    </xf>
    <xf numFmtId="1" fontId="2" fillId="3" borderId="1" xfId="8" applyNumberForma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3" fillId="2" borderId="7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/>
    </xf>
    <xf numFmtId="0" fontId="24" fillId="0" borderId="0" xfId="9" applyFont="1" applyAlignment="1">
      <alignment horizontal="center" vertical="center"/>
    </xf>
    <xf numFmtId="49" fontId="24" fillId="0" borderId="0" xfId="9" applyNumberFormat="1" applyFont="1" applyAlignment="1">
      <alignment horizontal="center" vertical="center"/>
    </xf>
    <xf numFmtId="43" fontId="24" fillId="0" borderId="0" xfId="9" applyNumberFormat="1" applyFont="1" applyAlignment="1">
      <alignment horizontal="center" vertical="center"/>
    </xf>
    <xf numFmtId="10" fontId="24" fillId="0" borderId="0" xfId="9" applyNumberFormat="1" applyFont="1" applyAlignment="1">
      <alignment horizontal="center" vertical="center"/>
    </xf>
    <xf numFmtId="4" fontId="24" fillId="0" borderId="0" xfId="9" applyNumberFormat="1" applyFont="1" applyAlignment="1">
      <alignment horizontal="center" vertical="center"/>
    </xf>
    <xf numFmtId="43" fontId="24" fillId="5" borderId="0" xfId="9" applyNumberFormat="1" applyFont="1" applyFill="1" applyAlignment="1">
      <alignment horizontal="center" vertical="center"/>
    </xf>
    <xf numFmtId="0" fontId="24" fillId="5" borderId="0" xfId="9" applyFont="1" applyFill="1" applyAlignment="1">
      <alignment horizontal="center" vertical="center"/>
    </xf>
    <xf numFmtId="9" fontId="24" fillId="0" borderId="0" xfId="9" applyNumberFormat="1" applyFont="1" applyAlignment="1">
      <alignment horizontal="center" vertical="center"/>
    </xf>
    <xf numFmtId="44" fontId="24" fillId="0" borderId="0" xfId="9" applyNumberFormat="1" applyFont="1" applyAlignment="1">
      <alignment horizontal="center" vertical="center"/>
    </xf>
    <xf numFmtId="0" fontId="1" fillId="0" borderId="0" xfId="9"/>
    <xf numFmtId="49" fontId="1" fillId="0" borderId="0" xfId="9" applyNumberFormat="1" applyAlignment="1">
      <alignment horizontal="center" wrapText="1"/>
    </xf>
    <xf numFmtId="0" fontId="1" fillId="0" borderId="0" xfId="9" applyAlignment="1">
      <alignment horizontal="center"/>
    </xf>
    <xf numFmtId="49" fontId="1" fillId="0" borderId="0" xfId="9" applyNumberFormat="1" applyAlignment="1">
      <alignment horizontal="center"/>
    </xf>
    <xf numFmtId="43" fontId="1" fillId="0" borderId="0" xfId="9" applyNumberFormat="1"/>
    <xf numFmtId="10" fontId="1" fillId="0" borderId="0" xfId="9" applyNumberFormat="1" applyAlignment="1">
      <alignment horizontal="center"/>
    </xf>
    <xf numFmtId="4" fontId="1" fillId="0" borderId="0" xfId="9" applyNumberFormat="1"/>
    <xf numFmtId="10" fontId="1" fillId="0" borderId="0" xfId="9" applyNumberFormat="1"/>
    <xf numFmtId="43" fontId="1" fillId="0" borderId="0" xfId="9" applyNumberFormat="1" applyAlignment="1">
      <alignment horizontal="center"/>
    </xf>
    <xf numFmtId="9" fontId="1" fillId="0" borderId="0" xfId="9" applyNumberFormat="1"/>
    <xf numFmtId="44" fontId="1" fillId="0" borderId="0" xfId="9" applyNumberFormat="1"/>
    <xf numFmtId="44" fontId="1" fillId="0" borderId="0" xfId="9" applyNumberFormat="1" applyAlignment="1">
      <alignment horizontal="center"/>
    </xf>
    <xf numFmtId="0" fontId="1" fillId="0" borderId="0" xfId="9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5" fillId="3" borderId="11" xfId="0" applyFont="1" applyFill="1" applyBorder="1" applyAlignment="1">
      <alignment horizontal="center" vertical="top"/>
    </xf>
    <xf numFmtId="0" fontId="26" fillId="3" borderId="11" xfId="0" applyFont="1" applyFill="1" applyBorder="1" applyAlignment="1">
      <alignment horizontal="center" vertical="top"/>
    </xf>
    <xf numFmtId="44" fontId="0" fillId="2" borderId="12" xfId="0" applyNumberFormat="1" applyFill="1" applyBorder="1" applyAlignment="1">
      <alignment horizontal="center" vertical="center"/>
    </xf>
    <xf numFmtId="0" fontId="19" fillId="0" borderId="16" xfId="5" applyFont="1" applyFill="1" applyBorder="1" applyAlignment="1">
      <alignment horizontal="center" vertical="center"/>
    </xf>
    <xf numFmtId="43" fontId="19" fillId="0" borderId="16" xfId="5" applyNumberFormat="1" applyFont="1" applyFill="1" applyBorder="1" applyAlignment="1">
      <alignment horizontal="center" vertical="center"/>
    </xf>
    <xf numFmtId="0" fontId="19" fillId="0" borderId="16" xfId="5" applyFont="1" applyFill="1" applyBorder="1" applyAlignment="1">
      <alignment horizontal="center" wrapText="1"/>
    </xf>
    <xf numFmtId="0" fontId="19" fillId="0" borderId="0" xfId="4" applyFont="1" applyAlignment="1">
      <alignment horizontal="center" vertical="center"/>
    </xf>
    <xf numFmtId="0" fontId="20" fillId="0" borderId="16" xfId="4" applyBorder="1" applyAlignment="1">
      <alignment horizontal="center"/>
    </xf>
    <xf numFmtId="43" fontId="20" fillId="0" borderId="16" xfId="4" applyNumberFormat="1" applyBorder="1"/>
    <xf numFmtId="10" fontId="20" fillId="0" borderId="16" xfId="4" applyNumberFormat="1" applyBorder="1" applyAlignment="1">
      <alignment horizontal="right"/>
    </xf>
    <xf numFmtId="0" fontId="20" fillId="0" borderId="0" xfId="4"/>
    <xf numFmtId="0" fontId="20" fillId="0" borderId="0" xfId="4" applyAlignment="1">
      <alignment horizontal="center"/>
    </xf>
    <xf numFmtId="43" fontId="0" fillId="0" borderId="0" xfId="0" applyNumberFormat="1"/>
    <xf numFmtId="43" fontId="20" fillId="0" borderId="17" xfId="4" applyNumberFormat="1" applyBorder="1"/>
    <xf numFmtId="0" fontId="0" fillId="0" borderId="0" xfId="0" applyAlignment="1">
      <alignment horizontal="right"/>
    </xf>
    <xf numFmtId="0" fontId="0" fillId="3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0" fontId="0" fillId="3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3" borderId="2" xfId="0" applyNumberFormat="1" applyFill="1" applyBorder="1" applyAlignment="1">
      <alignment horizontal="center" vertical="center"/>
    </xf>
    <xf numFmtId="43" fontId="0" fillId="3" borderId="2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6" borderId="13" xfId="0" applyFill="1" applyBorder="1" applyAlignment="1">
      <alignment horizontal="center" vertical="center"/>
    </xf>
    <xf numFmtId="14" fontId="0" fillId="6" borderId="13" xfId="0" applyNumberFormat="1" applyFill="1" applyBorder="1" applyAlignment="1">
      <alignment horizontal="center" vertical="center"/>
    </xf>
    <xf numFmtId="2" fontId="0" fillId="6" borderId="13" xfId="0" applyNumberFormat="1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44" fontId="0" fillId="6" borderId="12" xfId="0" applyNumberFormat="1" applyFill="1" applyBorder="1" applyAlignment="1">
      <alignment horizontal="center" vertical="center"/>
    </xf>
    <xf numFmtId="2" fontId="11" fillId="6" borderId="12" xfId="0" applyNumberFormat="1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</cellXfs>
  <cellStyles count="10">
    <cellStyle name="40% - Accent3 2" xfId="5" xr:uid="{86803391-402C-4CB9-AF74-319EDAA0A517}"/>
    <cellStyle name="Normal" xfId="0" builtinId="0"/>
    <cellStyle name="Normal 2" xfId="1" xr:uid="{00000000-0005-0000-0000-000001000000}"/>
    <cellStyle name="Normal 2 2" xfId="3" xr:uid="{944D6060-2B68-4AE8-B460-6DCF41CE3CB8}"/>
    <cellStyle name="Normal 2 3" xfId="8" xr:uid="{FF9A5B9B-E04C-4BF6-8330-63083C5CE375}"/>
    <cellStyle name="Normal 3" xfId="2" xr:uid="{935B227E-1AC9-42CD-9029-437313C32CBD}"/>
    <cellStyle name="Normal 3 2" xfId="4" xr:uid="{885F45EF-E593-475B-8443-35B1E0494F70}"/>
    <cellStyle name="Normal 4" xfId="6" xr:uid="{6345F210-3CAA-4DBA-A8A3-225A8D05CF36}"/>
    <cellStyle name="Normal 5" xfId="7" xr:uid="{5EF54D11-CE7E-43C4-8801-419A656F8639}"/>
    <cellStyle name="Normal 5 2 2" xfId="9" xr:uid="{B0649BF7-B7EE-40E8-802B-1241DF48FC0B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4787\UFC%20Dropbox\scott%20nutgrass\client\applicant\butts_127306\erate\2026\analysis\ap\response\Eval26ButtsC2_draft.xlsx" TargetMode="External"/><Relationship Id="rId1" Type="http://schemas.openxmlformats.org/officeDocument/2006/relationships/externalLinkPath" Target="file:///C:\Users\14787\UFC%20Dropbox\scott%20nutgrass\client\applicant\butts_127306\erate\2026\analysis\ap\response\Eval26ButtsC2_draf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alSummary"/>
      <sheetName val="pricingEval"/>
      <sheetName val="TechEval"/>
      <sheetName val="VendorEval"/>
      <sheetName val="Proposal"/>
      <sheetName val="bizReq"/>
      <sheetName val="lineItem"/>
    </sheetNames>
    <sheetDataSet>
      <sheetData sheetId="0">
        <row r="2">
          <cell r="C2" t="str">
            <v>Butts CSD</v>
          </cell>
        </row>
        <row r="4">
          <cell r="C4">
            <v>260017690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19"/>
  <sheetViews>
    <sheetView tabSelected="1" zoomScale="88" workbookViewId="0">
      <selection activeCell="N5" sqref="N5"/>
    </sheetView>
  </sheetViews>
  <sheetFormatPr defaultColWidth="10.875" defaultRowHeight="15.75"/>
  <cols>
    <col min="1" max="1" width="10.875" style="3"/>
    <col min="2" max="2" width="25" style="1" customWidth="1"/>
    <col min="3" max="3" width="16.625" style="2" customWidth="1"/>
    <col min="4" max="4" width="19.5" style="2" customWidth="1"/>
    <col min="5" max="5" width="16.125" style="2" customWidth="1"/>
    <col min="6" max="6" width="14" style="2" customWidth="1"/>
    <col min="7" max="7" width="17.375" style="2" customWidth="1"/>
    <col min="8" max="8" width="14" style="2" customWidth="1"/>
    <col min="9" max="16384" width="10.875" style="3"/>
  </cols>
  <sheetData>
    <row r="2" spans="2:8">
      <c r="B2" s="44" t="s">
        <v>51</v>
      </c>
      <c r="C2" s="2" t="s">
        <v>67</v>
      </c>
    </row>
    <row r="3" spans="2:8">
      <c r="B3" s="44" t="s">
        <v>52</v>
      </c>
      <c r="C3" s="2">
        <v>127444</v>
      </c>
    </row>
    <row r="4" spans="2:8">
      <c r="B4" s="42" t="s">
        <v>50</v>
      </c>
      <c r="C4" s="43">
        <v>260018926</v>
      </c>
    </row>
    <row r="5" spans="2:8" ht="36" customHeight="1">
      <c r="B5" s="95" t="s">
        <v>0</v>
      </c>
      <c r="C5" s="95" t="s">
        <v>1</v>
      </c>
      <c r="D5" s="18" t="s">
        <v>46</v>
      </c>
      <c r="E5" s="18" t="s">
        <v>30</v>
      </c>
      <c r="F5" s="18" t="s">
        <v>34</v>
      </c>
      <c r="G5" s="18" t="s">
        <v>37</v>
      </c>
      <c r="H5" s="18" t="s">
        <v>25</v>
      </c>
    </row>
    <row r="6" spans="2:8" ht="21" customHeight="1">
      <c r="B6" s="96"/>
      <c r="C6" s="96"/>
      <c r="D6" s="80" t="s">
        <v>99</v>
      </c>
      <c r="E6" s="80" t="s">
        <v>100</v>
      </c>
      <c r="F6" s="80" t="s">
        <v>101</v>
      </c>
      <c r="G6" s="80" t="s">
        <v>102</v>
      </c>
      <c r="H6" s="81" t="s">
        <v>103</v>
      </c>
    </row>
    <row r="7" spans="2:8" s="5" customFormat="1" ht="33.950000000000003" customHeight="1">
      <c r="B7" s="107" t="str">
        <f>B13</f>
        <v>Segra</v>
      </c>
      <c r="C7" s="108">
        <v>46085</v>
      </c>
      <c r="D7" s="109">
        <f>pricingEval!O3</f>
        <v>37.93445730185627</v>
      </c>
      <c r="E7" s="109">
        <f>Proposal!O3</f>
        <v>30</v>
      </c>
      <c r="F7" s="109">
        <f>bizReq!J4</f>
        <v>20</v>
      </c>
      <c r="G7" s="109">
        <f>VendorEval!S2</f>
        <v>10</v>
      </c>
      <c r="H7" s="109">
        <f>SUM(D7,G7,E7,F7)</f>
        <v>97.93445730185627</v>
      </c>
    </row>
    <row r="8" spans="2:8" s="5" customFormat="1" ht="33.950000000000003" customHeight="1">
      <c r="B8" s="31" t="str">
        <f>B14</f>
        <v>Kinetic (dark)</v>
      </c>
      <c r="C8" s="32">
        <v>46085</v>
      </c>
      <c r="D8" s="33">
        <f>pricingEval!O4</f>
        <v>40</v>
      </c>
      <c r="E8" s="33">
        <f>Proposal!O4</f>
        <v>26.25</v>
      </c>
      <c r="F8" s="33">
        <f>bizReq!J5</f>
        <v>16</v>
      </c>
      <c r="G8" s="33">
        <f>VendorEval!S3</f>
        <v>8</v>
      </c>
      <c r="H8" s="47">
        <f>SUM(D8,G8,E8,F8)</f>
        <v>90.25</v>
      </c>
    </row>
    <row r="9" spans="2:8" s="5" customFormat="1" ht="33.950000000000003" customHeight="1">
      <c r="B9" s="31" t="str">
        <f>B15</f>
        <v>Kinetic (lit)</v>
      </c>
      <c r="C9" s="32">
        <v>46085</v>
      </c>
      <c r="D9" s="33">
        <f>pricingEval!O5</f>
        <v>40</v>
      </c>
      <c r="E9" s="33">
        <f>Proposal!O5</f>
        <v>18.75</v>
      </c>
      <c r="F9" s="33">
        <f>bizReq!J6</f>
        <v>16</v>
      </c>
      <c r="G9" s="33">
        <f>VendorEval!S4</f>
        <v>8</v>
      </c>
      <c r="H9" s="47">
        <f>SUM(D9,G9,E9,F9)</f>
        <v>82.75</v>
      </c>
    </row>
    <row r="10" spans="2:8" ht="24" customHeight="1"/>
    <row r="12" spans="2:8">
      <c r="B12" s="45" t="s">
        <v>0</v>
      </c>
      <c r="C12" s="45" t="s">
        <v>5</v>
      </c>
    </row>
    <row r="13" spans="2:8">
      <c r="B13" s="3" t="s">
        <v>108</v>
      </c>
      <c r="C13" s="2">
        <v>143029868</v>
      </c>
      <c r="D13" s="3"/>
      <c r="E13" s="3"/>
      <c r="F13" s="3"/>
      <c r="G13" s="3"/>
      <c r="H13" s="3"/>
    </row>
    <row r="14" spans="2:8">
      <c r="B14" s="3" t="s">
        <v>109</v>
      </c>
      <c r="C14" s="2">
        <v>143030766</v>
      </c>
      <c r="D14" s="3"/>
      <c r="E14" s="3"/>
      <c r="F14" s="3"/>
      <c r="G14" s="3"/>
      <c r="H14" s="3"/>
    </row>
    <row r="15" spans="2:8">
      <c r="B15" s="3" t="s">
        <v>110</v>
      </c>
      <c r="C15" s="2">
        <v>143030766</v>
      </c>
      <c r="D15" s="3"/>
      <c r="E15" s="3"/>
      <c r="F15" s="3"/>
      <c r="G15" s="3"/>
      <c r="H15" s="3"/>
    </row>
    <row r="16" spans="2:8">
      <c r="B16" s="3"/>
      <c r="D16" s="3"/>
      <c r="E16" s="3"/>
      <c r="F16" s="3"/>
      <c r="G16" s="3"/>
      <c r="H16" s="3"/>
    </row>
    <row r="17" spans="2:8">
      <c r="B17" s="3"/>
      <c r="C17" s="46"/>
      <c r="D17" s="3"/>
      <c r="E17" s="3"/>
      <c r="F17" s="3"/>
      <c r="G17" s="3"/>
      <c r="H17" s="3"/>
    </row>
    <row r="18" spans="2:8">
      <c r="B18" s="3"/>
      <c r="D18" s="3"/>
      <c r="E18" s="3"/>
      <c r="F18" s="3"/>
      <c r="G18" s="3"/>
      <c r="H18" s="3"/>
    </row>
    <row r="19" spans="2:8">
      <c r="B19" s="3"/>
    </row>
  </sheetData>
  <mergeCells count="2">
    <mergeCell ref="B5:B6"/>
    <mergeCell ref="C5:C6"/>
  </mergeCells>
  <printOptions horizontalCentered="1"/>
  <pageMargins left="0.7" right="0.7" top="0.75" bottom="0.75" header="0.3" footer="0.3"/>
  <pageSetup scale="5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3"/>
  <sheetViews>
    <sheetView topLeftCell="A4" zoomScale="90" zoomScaleNormal="90" workbookViewId="0">
      <selection activeCell="L15" sqref="L15"/>
    </sheetView>
  </sheetViews>
  <sheetFormatPr defaultColWidth="10.875" defaultRowHeight="15.75"/>
  <cols>
    <col min="1" max="1" width="15" style="2" customWidth="1"/>
    <col min="2" max="2" width="15" style="2" bestFit="1" customWidth="1"/>
    <col min="3" max="3" width="11.875" style="2" bestFit="1" customWidth="1"/>
    <col min="4" max="4" width="17.5" style="2" customWidth="1"/>
    <col min="5" max="5" width="16.125" style="2" bestFit="1" customWidth="1"/>
    <col min="6" max="6" width="12.25" style="2" bestFit="1" customWidth="1"/>
    <col min="7" max="7" width="20.25" style="2" bestFit="1" customWidth="1"/>
    <col min="8" max="8" width="17" style="2" customWidth="1"/>
    <col min="9" max="9" width="14" style="2" customWidth="1"/>
    <col min="10" max="10" width="21.625" style="2" customWidth="1"/>
    <col min="11" max="11" width="22.125" style="2" customWidth="1"/>
    <col min="12" max="12" width="17.875" style="2" bestFit="1" customWidth="1"/>
    <col min="13" max="14" width="22.375" style="2" bestFit="1" customWidth="1"/>
    <col min="15" max="15" width="21.375" style="2" bestFit="1" customWidth="1"/>
    <col min="16" max="17" width="18" style="2" hidden="1" customWidth="1"/>
    <col min="18" max="18" width="66" style="2" customWidth="1"/>
    <col min="19" max="16384" width="10.875" style="2"/>
  </cols>
  <sheetData>
    <row r="1" spans="1:18">
      <c r="A1" s="98" t="s">
        <v>2</v>
      </c>
      <c r="B1" s="98" t="s">
        <v>3</v>
      </c>
      <c r="C1" s="98" t="s">
        <v>4</v>
      </c>
      <c r="D1" s="98" t="s">
        <v>5</v>
      </c>
      <c r="E1" s="98" t="s">
        <v>22</v>
      </c>
      <c r="F1" s="98" t="s">
        <v>12</v>
      </c>
      <c r="G1" s="98" t="s">
        <v>26</v>
      </c>
      <c r="H1" s="98" t="s">
        <v>41</v>
      </c>
      <c r="I1" s="98" t="s">
        <v>42</v>
      </c>
      <c r="J1" s="98" t="s">
        <v>43</v>
      </c>
      <c r="K1" s="98" t="s">
        <v>44</v>
      </c>
      <c r="L1" s="98" t="s">
        <v>27</v>
      </c>
      <c r="M1" s="98" t="s">
        <v>107</v>
      </c>
      <c r="N1" s="98" t="s">
        <v>45</v>
      </c>
      <c r="O1" s="100" t="s">
        <v>28</v>
      </c>
      <c r="P1" s="100" t="s">
        <v>29</v>
      </c>
      <c r="Q1" s="100" t="s">
        <v>7</v>
      </c>
      <c r="R1" s="101" t="s">
        <v>8</v>
      </c>
    </row>
    <row r="2" spans="1:18" ht="36" customHeight="1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</row>
    <row r="3" spans="1:18" ht="27" customHeight="1">
      <c r="A3" s="110">
        <f>EvalSummary!$C$3</f>
        <v>127444</v>
      </c>
      <c r="B3" s="110" t="str">
        <f>EvalSummary!$C$2</f>
        <v>Houston CSD</v>
      </c>
      <c r="C3" s="110">
        <f>EvalSummary!$C$4</f>
        <v>260018926</v>
      </c>
      <c r="D3" s="110">
        <f>EvalSummary!C13</f>
        <v>143029868</v>
      </c>
      <c r="E3" s="110" t="str">
        <f>EvalSummary!B13</f>
        <v>Segra</v>
      </c>
      <c r="F3" s="110" t="s">
        <v>104</v>
      </c>
      <c r="G3" s="110">
        <v>12</v>
      </c>
      <c r="H3" s="111">
        <v>0</v>
      </c>
      <c r="I3" s="111">
        <v>559464</v>
      </c>
      <c r="J3" s="111">
        <v>371401.86</v>
      </c>
      <c r="K3" s="111">
        <f>I3-J3</f>
        <v>188062.14</v>
      </c>
      <c r="L3" s="111">
        <v>0</v>
      </c>
      <c r="M3" s="111">
        <f>SUM(J3+L3)</f>
        <v>371401.86</v>
      </c>
      <c r="N3" s="111">
        <f>I3</f>
        <v>559464</v>
      </c>
      <c r="O3" s="112">
        <f>IFERROR((_xlfn.MINIFS($M$3:$M$4, $M$3:$M$4, "&gt;0")/M3)*40,0)</f>
        <v>37.93445730185627</v>
      </c>
      <c r="P3" s="113"/>
      <c r="Q3" s="113"/>
      <c r="R3" s="113"/>
    </row>
    <row r="4" spans="1:18" ht="27" customHeight="1">
      <c r="A4" s="27">
        <f>EvalSummary!$C$3</f>
        <v>127444</v>
      </c>
      <c r="B4" s="27" t="str">
        <f>EvalSummary!$C$2</f>
        <v>Houston CSD</v>
      </c>
      <c r="C4" s="27">
        <f>EvalSummary!$C$4</f>
        <v>260018926</v>
      </c>
      <c r="D4" s="27">
        <f>EvalSummary!C14</f>
        <v>143030766</v>
      </c>
      <c r="E4" s="27" t="str">
        <f>EvalSummary!B14</f>
        <v>Kinetic (dark)</v>
      </c>
      <c r="F4" s="27" t="s">
        <v>104</v>
      </c>
      <c r="G4" s="27">
        <v>12</v>
      </c>
      <c r="H4" s="82">
        <v>0</v>
      </c>
      <c r="I4" s="82">
        <v>358503.48</v>
      </c>
      <c r="J4" s="82">
        <v>352223.19999999995</v>
      </c>
      <c r="K4" s="82">
        <f>I4-J4</f>
        <v>6280.2800000000279</v>
      </c>
      <c r="L4" s="82"/>
      <c r="M4" s="82">
        <f>SUM(J4+L4)</f>
        <v>352223.19999999995</v>
      </c>
      <c r="N4" s="82">
        <f>I4</f>
        <v>358503.48</v>
      </c>
      <c r="O4" s="30">
        <f>IFERROR((_xlfn.MINIFS($M$3:$M$4, $M$3:$M$4, "&gt;0")/M4)*40,0)</f>
        <v>40</v>
      </c>
      <c r="P4" s="38"/>
      <c r="Q4" s="38"/>
      <c r="R4" s="38"/>
    </row>
    <row r="5" spans="1:18" ht="27" customHeight="1">
      <c r="A5" s="27">
        <f>EvalSummary!$C$3</f>
        <v>127444</v>
      </c>
      <c r="B5" s="27" t="str">
        <f>EvalSummary!$C$2</f>
        <v>Houston CSD</v>
      </c>
      <c r="C5" s="27">
        <f>EvalSummary!$C$4</f>
        <v>260018926</v>
      </c>
      <c r="D5" s="27">
        <f>EvalSummary!C15</f>
        <v>143030766</v>
      </c>
      <c r="E5" s="27" t="str">
        <f>EvalSummary!B15</f>
        <v>Kinetic (lit)</v>
      </c>
      <c r="F5" s="27" t="s">
        <v>105</v>
      </c>
      <c r="G5" s="27">
        <v>12</v>
      </c>
      <c r="H5" s="82">
        <v>0</v>
      </c>
      <c r="I5" s="82">
        <v>394623.72</v>
      </c>
      <c r="J5" s="82">
        <v>352223.19999999995</v>
      </c>
      <c r="K5" s="82">
        <f>I5-J5</f>
        <v>42400.520000000019</v>
      </c>
      <c r="L5" s="82"/>
      <c r="M5" s="82">
        <f>SUM(J5+L5)</f>
        <v>352223.19999999995</v>
      </c>
      <c r="N5" s="82">
        <f>I5</f>
        <v>394623.72</v>
      </c>
      <c r="O5" s="30">
        <f>IFERROR((_xlfn.MINIFS($M$3:$M$4, $M$3:$M$4, "&gt;0")/M5)*40,0)</f>
        <v>40</v>
      </c>
      <c r="P5" s="38"/>
      <c r="Q5" s="38"/>
      <c r="R5" s="38"/>
    </row>
    <row r="10" spans="1:18">
      <c r="A10" s="97" t="s">
        <v>106</v>
      </c>
      <c r="B10" s="97"/>
      <c r="C10" s="97"/>
      <c r="D10" s="97"/>
      <c r="E10" s="97"/>
      <c r="F10" s="97"/>
      <c r="G10" s="97"/>
      <c r="H10" s="97"/>
      <c r="I10" s="97"/>
    </row>
    <row r="11" spans="1:18">
      <c r="A11" s="97"/>
      <c r="B11" s="97"/>
      <c r="C11" s="97"/>
      <c r="D11" s="97"/>
      <c r="E11" s="97"/>
      <c r="F11" s="97"/>
      <c r="G11" s="97"/>
      <c r="H11" s="97"/>
      <c r="I11" s="97"/>
    </row>
    <row r="12" spans="1:18">
      <c r="A12" s="97"/>
      <c r="B12" s="97"/>
      <c r="C12" s="97"/>
      <c r="D12" s="97"/>
      <c r="E12" s="97"/>
      <c r="F12" s="97"/>
      <c r="G12" s="97"/>
      <c r="H12" s="97"/>
      <c r="I12" s="97"/>
    </row>
    <row r="13" spans="1:18">
      <c r="A13" s="97"/>
      <c r="B13" s="97"/>
      <c r="C13" s="97"/>
      <c r="D13" s="97"/>
      <c r="E13" s="97"/>
      <c r="F13" s="97"/>
      <c r="G13" s="97"/>
      <c r="H13" s="97"/>
      <c r="I13" s="97"/>
    </row>
  </sheetData>
  <autoFilter ref="A1:R4" xr:uid="{00000000-0001-0000-0100-000000000000}"/>
  <mergeCells count="19">
    <mergeCell ref="H1:H2"/>
    <mergeCell ref="I1:I2"/>
    <mergeCell ref="J1:J2"/>
    <mergeCell ref="A10:I13"/>
    <mergeCell ref="L1:L2"/>
    <mergeCell ref="Q1:Q2"/>
    <mergeCell ref="P1:P2"/>
    <mergeCell ref="R1:R2"/>
    <mergeCell ref="N1:N2"/>
    <mergeCell ref="M1:M2"/>
    <mergeCell ref="O1:O2"/>
    <mergeCell ref="K1:K2"/>
    <mergeCell ref="A1:A2"/>
    <mergeCell ref="B1:B2"/>
    <mergeCell ref="C1:C2"/>
    <mergeCell ref="D1:D2"/>
    <mergeCell ref="E1:E2"/>
    <mergeCell ref="F1:F2"/>
    <mergeCell ref="G1:G2"/>
  </mergeCells>
  <printOptions horizontalCentered="1"/>
  <pageMargins left="0.25" right="0.25" top="0.75" bottom="0.75" header="0.3" footer="0.3"/>
  <pageSetup scale="35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7C978-6B21-5349-87EC-96CE07620AC9}">
  <sheetPr>
    <pageSetUpPr fitToPage="1"/>
  </sheetPr>
  <dimension ref="A2:O7"/>
  <sheetViews>
    <sheetView workbookViewId="0">
      <selection activeCell="A3" sqref="A3"/>
    </sheetView>
  </sheetViews>
  <sheetFormatPr defaultColWidth="10.875" defaultRowHeight="15.75"/>
  <cols>
    <col min="1" max="3" width="10.875" style="3"/>
    <col min="4" max="4" width="11.25" style="3" customWidth="1"/>
    <col min="5" max="5" width="15.375" style="3" customWidth="1"/>
    <col min="6" max="6" width="10.875" style="3"/>
    <col min="7" max="7" width="17" style="3" bestFit="1" customWidth="1"/>
    <col min="8" max="8" width="14.875" style="3" bestFit="1" customWidth="1"/>
    <col min="9" max="9" width="18.375" style="3" bestFit="1" customWidth="1"/>
    <col min="10" max="10" width="13.625" style="3" customWidth="1"/>
    <col min="11" max="11" width="12.5" style="2" customWidth="1"/>
    <col min="12" max="12" width="11.375" style="2" bestFit="1" customWidth="1"/>
    <col min="13" max="13" width="12.5" style="3" customWidth="1"/>
    <col min="14" max="14" width="12" style="3" bestFit="1" customWidth="1"/>
    <col min="15" max="15" width="17.5" style="3" customWidth="1"/>
    <col min="16" max="16384" width="10.875" style="3"/>
  </cols>
  <sheetData>
    <row r="2" spans="1:15" ht="36" customHeight="1">
      <c r="A2" s="6" t="s">
        <v>2</v>
      </c>
      <c r="B2" s="40" t="s">
        <v>3</v>
      </c>
      <c r="C2" s="40" t="s">
        <v>48</v>
      </c>
      <c r="D2" s="6" t="s">
        <v>5</v>
      </c>
      <c r="E2" s="6" t="s">
        <v>11</v>
      </c>
      <c r="F2" s="6" t="s">
        <v>12</v>
      </c>
      <c r="G2" s="6" t="s">
        <v>24</v>
      </c>
      <c r="H2" s="24" t="s">
        <v>31</v>
      </c>
      <c r="I2" s="24" t="s">
        <v>9</v>
      </c>
      <c r="J2" s="52" t="s">
        <v>68</v>
      </c>
      <c r="K2" s="52" t="s">
        <v>69</v>
      </c>
      <c r="L2" s="52" t="s">
        <v>66</v>
      </c>
      <c r="M2" s="52" t="s">
        <v>98</v>
      </c>
      <c r="N2" s="24" t="s">
        <v>30</v>
      </c>
      <c r="O2" s="24" t="s">
        <v>33</v>
      </c>
    </row>
    <row r="3" spans="1:15" ht="27" customHeight="1">
      <c r="A3" s="27">
        <f>EvalSummary!$C$3</f>
        <v>127444</v>
      </c>
      <c r="B3" s="27" t="str">
        <f>EvalSummary!$C$2</f>
        <v>Houston CSD</v>
      </c>
      <c r="C3" s="27">
        <f>EvalSummary!$C$4</f>
        <v>260018926</v>
      </c>
      <c r="D3" s="27">
        <f>EvalSummary!C13</f>
        <v>143029868</v>
      </c>
      <c r="E3" s="27" t="str">
        <f>EvalSummary!B13</f>
        <v>Segra</v>
      </c>
      <c r="F3" s="4" t="s">
        <v>40</v>
      </c>
      <c r="G3" s="79">
        <v>1</v>
      </c>
      <c r="H3" s="13">
        <v>1</v>
      </c>
      <c r="I3" s="13">
        <v>0</v>
      </c>
      <c r="J3" s="27">
        <v>1</v>
      </c>
      <c r="K3" s="27">
        <v>1</v>
      </c>
      <c r="L3" s="27">
        <v>0</v>
      </c>
      <c r="M3" s="79">
        <v>0</v>
      </c>
      <c r="N3" s="13">
        <f>SUM((G3*$G$7)+(H3*$H$7)+(I3*$I$7)+(J3*$J$7)+(K3*$K$7)+(L3*$L$7)+(M3*$M$7))</f>
        <v>20</v>
      </c>
      <c r="O3" s="14">
        <f>(N3/MAX($N$3:$N$5))*30</f>
        <v>30</v>
      </c>
    </row>
    <row r="4" spans="1:15" ht="27" customHeight="1">
      <c r="A4" s="27">
        <f>EvalSummary!$C$3</f>
        <v>127444</v>
      </c>
      <c r="B4" s="27" t="str">
        <f>EvalSummary!$C$2</f>
        <v>Houston CSD</v>
      </c>
      <c r="C4" s="27">
        <f>EvalSummary!$C$4</f>
        <v>260018926</v>
      </c>
      <c r="D4" s="27">
        <f>EvalSummary!C14</f>
        <v>143030766</v>
      </c>
      <c r="E4" s="27" t="str">
        <f>EvalSummary!B14</f>
        <v>Kinetic (dark)</v>
      </c>
      <c r="F4" s="41" t="s">
        <v>40</v>
      </c>
      <c r="G4" s="79">
        <v>1</v>
      </c>
      <c r="H4" s="13">
        <v>1</v>
      </c>
      <c r="I4" s="13">
        <v>0</v>
      </c>
      <c r="J4" s="27">
        <v>0.5</v>
      </c>
      <c r="K4" s="27">
        <v>1</v>
      </c>
      <c r="L4" s="27">
        <v>0</v>
      </c>
      <c r="M4" s="79">
        <v>0</v>
      </c>
      <c r="N4" s="13">
        <f>SUM((G4*$G$7)+(H4*$H$7)+(I4*$I$7)+(J4*$J$7)+(K4*$K$7)+(L4*$L$7)+(M4*$M$7))</f>
        <v>17.5</v>
      </c>
      <c r="O4" s="14">
        <f>(N4/MAX($N$3:$N$5))*30</f>
        <v>26.25</v>
      </c>
    </row>
    <row r="5" spans="1:15" ht="27" customHeight="1">
      <c r="A5" s="27">
        <f>EvalSummary!$C$3</f>
        <v>127444</v>
      </c>
      <c r="B5" s="27" t="str">
        <f>EvalSummary!$C$2</f>
        <v>Houston CSD</v>
      </c>
      <c r="C5" s="27">
        <f>EvalSummary!$C$4</f>
        <v>260018926</v>
      </c>
      <c r="D5" s="27">
        <f>EvalSummary!C15</f>
        <v>143030766</v>
      </c>
      <c r="E5" s="27" t="str">
        <f>EvalSummary!B15</f>
        <v>Kinetic (lit)</v>
      </c>
      <c r="F5" s="41" t="s">
        <v>40</v>
      </c>
      <c r="G5" s="79">
        <v>1</v>
      </c>
      <c r="H5" s="13">
        <v>1</v>
      </c>
      <c r="I5" s="13">
        <v>0</v>
      </c>
      <c r="J5" s="27">
        <v>0.5</v>
      </c>
      <c r="K5" s="27">
        <v>1</v>
      </c>
      <c r="L5" s="27">
        <v>1</v>
      </c>
      <c r="M5" s="79">
        <v>0</v>
      </c>
      <c r="N5" s="13">
        <f>SUM((G5*$G$7)+(H5*$H$7)+(I5*$I$7)+(J5*$J$7)+(K5*$K$7)+(L5*$L$7)+(M5*$M$7))</f>
        <v>12.5</v>
      </c>
      <c r="O5" s="14">
        <f>(N5/MAX($N$3:$N$5))*30</f>
        <v>18.75</v>
      </c>
    </row>
    <row r="7" spans="1:15" s="25" customFormat="1">
      <c r="G7" s="53">
        <v>5</v>
      </c>
      <c r="H7" s="53">
        <v>5</v>
      </c>
      <c r="I7" s="53">
        <v>-1</v>
      </c>
      <c r="J7" s="54">
        <v>5</v>
      </c>
      <c r="K7" s="55">
        <v>5</v>
      </c>
      <c r="L7" s="55">
        <v>-5</v>
      </c>
      <c r="M7" s="53">
        <v>5</v>
      </c>
    </row>
  </sheetData>
  <printOptions horizontalCentered="1"/>
  <pageMargins left="0.25" right="0.25" top="0.75" bottom="0.75" header="0.3" footer="0.3"/>
  <pageSetup scale="65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760F4-2B78-7E4E-879A-2E2380C9151A}">
  <dimension ref="A2:J8"/>
  <sheetViews>
    <sheetView workbookViewId="0">
      <selection activeCell="A4" sqref="A4"/>
    </sheetView>
  </sheetViews>
  <sheetFormatPr defaultColWidth="10.875" defaultRowHeight="15.75"/>
  <cols>
    <col min="1" max="1" width="10.875" style="3"/>
    <col min="2" max="2" width="12.875" style="3" customWidth="1"/>
    <col min="3" max="4" width="10.875" style="3"/>
    <col min="5" max="5" width="15.625" style="3" bestFit="1" customWidth="1"/>
    <col min="6" max="6" width="10.875" style="3"/>
    <col min="7" max="7" width="12.625" style="3" customWidth="1"/>
    <col min="8" max="8" width="12.5" style="3" customWidth="1"/>
    <col min="9" max="16384" width="10.875" style="3"/>
  </cols>
  <sheetData>
    <row r="2" spans="1:10">
      <c r="A2" s="98" t="s">
        <v>2</v>
      </c>
      <c r="B2" s="98" t="s">
        <v>3</v>
      </c>
      <c r="C2" s="98" t="s">
        <v>4</v>
      </c>
      <c r="D2" s="98" t="s">
        <v>5</v>
      </c>
      <c r="E2" s="98" t="s">
        <v>6</v>
      </c>
      <c r="F2" s="103" t="s">
        <v>12</v>
      </c>
      <c r="G2" s="103" t="s">
        <v>35</v>
      </c>
      <c r="H2" s="105" t="s">
        <v>32</v>
      </c>
      <c r="I2" s="98" t="s">
        <v>10</v>
      </c>
      <c r="J2" s="98" t="s">
        <v>36</v>
      </c>
    </row>
    <row r="3" spans="1:10">
      <c r="A3" s="102"/>
      <c r="B3" s="102"/>
      <c r="C3" s="102"/>
      <c r="D3" s="102"/>
      <c r="E3" s="102"/>
      <c r="F3" s="104"/>
      <c r="G3" s="104"/>
      <c r="H3" s="106"/>
      <c r="I3" s="102"/>
      <c r="J3" s="102"/>
    </row>
    <row r="4" spans="1:10" ht="27" customHeight="1">
      <c r="A4" s="27">
        <f>EvalSummary!$C$3</f>
        <v>127444</v>
      </c>
      <c r="B4" s="27" t="str">
        <f>EvalSummary!$C$2</f>
        <v>Houston CSD</v>
      </c>
      <c r="C4" s="27">
        <f>EvalSummary!$C$4</f>
        <v>260018926</v>
      </c>
      <c r="D4" s="27">
        <f>EvalSummary!C13</f>
        <v>143029868</v>
      </c>
      <c r="E4" s="27" t="str">
        <f>EvalSummary!B13</f>
        <v>Segra</v>
      </c>
      <c r="F4" s="27" t="s">
        <v>40</v>
      </c>
      <c r="G4" s="78">
        <v>1</v>
      </c>
      <c r="H4" s="27">
        <v>0</v>
      </c>
      <c r="I4" s="27">
        <f>SUM((G4*$G$8)+(H4*$H$8))</f>
        <v>10</v>
      </c>
      <c r="J4" s="28">
        <f>IF(((I4/MAX($I$4:$I$6))*15)&lt;1,0,(I4/MAX($I$4:$I$6))*20)</f>
        <v>20</v>
      </c>
    </row>
    <row r="5" spans="1:10" ht="27" customHeight="1">
      <c r="A5" s="27">
        <f>EvalSummary!$C$3</f>
        <v>127444</v>
      </c>
      <c r="B5" s="27" t="str">
        <f>EvalSummary!$C$2</f>
        <v>Houston CSD</v>
      </c>
      <c r="C5" s="27">
        <f>EvalSummary!$C$4</f>
        <v>260018926</v>
      </c>
      <c r="D5" s="27">
        <f>EvalSummary!C14</f>
        <v>143030766</v>
      </c>
      <c r="E5" s="27" t="str">
        <f>EvalSummary!B14</f>
        <v>Kinetic (dark)</v>
      </c>
      <c r="F5" s="27" t="s">
        <v>40</v>
      </c>
      <c r="G5" s="78">
        <v>1</v>
      </c>
      <c r="H5" s="27">
        <v>1</v>
      </c>
      <c r="I5" s="27">
        <f>SUM((G5*$G$8)+(H5*$H$8))</f>
        <v>8</v>
      </c>
      <c r="J5" s="28">
        <f>IF(((I5/MAX($I$4:$I$6))*15)&lt;1,0,(I5/MAX($I$4:$I$6))*20)</f>
        <v>16</v>
      </c>
    </row>
    <row r="6" spans="1:10" ht="27" customHeight="1">
      <c r="A6" s="27">
        <f>EvalSummary!$C$3</f>
        <v>127444</v>
      </c>
      <c r="B6" s="27" t="str">
        <f>EvalSummary!$C$2</f>
        <v>Houston CSD</v>
      </c>
      <c r="C6" s="27">
        <f>EvalSummary!$C$4</f>
        <v>260018926</v>
      </c>
      <c r="D6" s="27">
        <f>EvalSummary!C15</f>
        <v>143030766</v>
      </c>
      <c r="E6" s="27" t="str">
        <f>EvalSummary!B15</f>
        <v>Kinetic (lit)</v>
      </c>
      <c r="F6" s="27" t="s">
        <v>40</v>
      </c>
      <c r="G6" s="78">
        <v>1</v>
      </c>
      <c r="H6" s="27">
        <v>1</v>
      </c>
      <c r="I6" s="27">
        <f>SUM((G6*$G$8)+(H6*$H$8))</f>
        <v>8</v>
      </c>
      <c r="J6" s="28">
        <f>IF(((I6/MAX($I$4:$I$6))*15)&lt;1,0,(I6/MAX($I$4:$I$6))*20)</f>
        <v>16</v>
      </c>
    </row>
    <row r="8" spans="1:10">
      <c r="F8" s="12" t="s">
        <v>23</v>
      </c>
      <c r="G8" s="11">
        <v>10</v>
      </c>
      <c r="H8" s="26">
        <v>-2</v>
      </c>
    </row>
  </sheetData>
  <mergeCells count="10">
    <mergeCell ref="J2:J3"/>
    <mergeCell ref="G2:G3"/>
    <mergeCell ref="H2:H3"/>
    <mergeCell ref="I2:I3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6594E-ECD4-453E-9EA5-ACF2A346FC49}">
  <sheetPr>
    <pageSetUpPr fitToPage="1"/>
  </sheetPr>
  <dimension ref="A1:T16"/>
  <sheetViews>
    <sheetView zoomScale="97" workbookViewId="0">
      <selection activeCell="A2" sqref="A2"/>
    </sheetView>
  </sheetViews>
  <sheetFormatPr defaultColWidth="10.875" defaultRowHeight="15.75"/>
  <cols>
    <col min="1" max="1" width="9.375" style="2" customWidth="1"/>
    <col min="2" max="2" width="13.625" style="2" customWidth="1"/>
    <col min="3" max="3" width="10.875" style="2"/>
    <col min="4" max="4" width="11.5" style="2" bestFit="1" customWidth="1"/>
    <col min="5" max="5" width="21.875" style="2" customWidth="1"/>
    <col min="6" max="6" width="8.625" style="2" customWidth="1"/>
    <col min="7" max="7" width="22.375" style="2" bestFit="1" customWidth="1"/>
    <col min="8" max="8" width="17.125" style="2" hidden="1" customWidth="1"/>
    <col min="9" max="9" width="25.625" style="2" bestFit="1" customWidth="1"/>
    <col min="10" max="10" width="15.125" style="2" customWidth="1"/>
    <col min="11" max="11" width="15.375" style="2" customWidth="1"/>
    <col min="12" max="12" width="15.5" style="2" customWidth="1"/>
    <col min="13" max="13" width="14.375" style="2" customWidth="1"/>
    <col min="14" max="16" width="10.875" style="2"/>
    <col min="17" max="18" width="16.5" style="2" customWidth="1"/>
    <col min="19" max="19" width="14.5" style="2" customWidth="1"/>
    <col min="20" max="20" width="10.875" style="3" hidden="1" customWidth="1"/>
    <col min="21" max="16384" width="10.875" style="3"/>
  </cols>
  <sheetData>
    <row r="1" spans="1:20" ht="36" customHeight="1">
      <c r="A1" s="48" t="s">
        <v>2</v>
      </c>
      <c r="B1" s="48" t="s">
        <v>3</v>
      </c>
      <c r="C1" s="48" t="s">
        <v>48</v>
      </c>
      <c r="D1" s="48" t="s">
        <v>5</v>
      </c>
      <c r="E1" s="48" t="s">
        <v>11</v>
      </c>
      <c r="F1" s="48" t="s">
        <v>12</v>
      </c>
      <c r="G1" s="49" t="s">
        <v>49</v>
      </c>
      <c r="H1" s="50" t="s">
        <v>13</v>
      </c>
      <c r="I1" s="50" t="s">
        <v>14</v>
      </c>
      <c r="J1" s="48"/>
      <c r="K1" s="48" t="s">
        <v>15</v>
      </c>
      <c r="L1" s="48" t="s">
        <v>17</v>
      </c>
      <c r="M1" s="48" t="s">
        <v>18</v>
      </c>
      <c r="N1" s="51" t="s">
        <v>16</v>
      </c>
      <c r="O1" s="7" t="s">
        <v>19</v>
      </c>
      <c r="P1" s="7" t="s">
        <v>20</v>
      </c>
      <c r="Q1" s="7" t="s">
        <v>35</v>
      </c>
      <c r="R1" s="7" t="s">
        <v>39</v>
      </c>
      <c r="S1" s="7" t="s">
        <v>38</v>
      </c>
      <c r="T1" s="7" t="s">
        <v>21</v>
      </c>
    </row>
    <row r="2" spans="1:20" s="5" customFormat="1" ht="27" customHeight="1">
      <c r="A2" s="27">
        <f>EvalSummary!$C$3</f>
        <v>127444</v>
      </c>
      <c r="B2" s="27" t="str">
        <f>EvalSummary!$C$2</f>
        <v>Houston CSD</v>
      </c>
      <c r="C2" s="27">
        <f>[1]EvalSummary!$C$4</f>
        <v>260017690</v>
      </c>
      <c r="D2" s="27">
        <f>EvalSummary!C13</f>
        <v>143029868</v>
      </c>
      <c r="E2" s="27" t="str">
        <f>EvalSummary!B13</f>
        <v>Segra</v>
      </c>
      <c r="F2" s="27" t="s">
        <v>40</v>
      </c>
      <c r="G2" s="29">
        <v>127770199.14999996</v>
      </c>
      <c r="H2" s="29"/>
      <c r="I2" s="29">
        <v>121295197.43000014</v>
      </c>
      <c r="J2" s="29"/>
      <c r="K2" s="29">
        <f t="shared" ref="K2:K4" si="0">I2</f>
        <v>121295197.43000014</v>
      </c>
      <c r="L2" s="34">
        <v>1</v>
      </c>
      <c r="M2" s="35" cm="1">
        <f t="array" ref="M2">_xlfn.IFS(K2 &lt;= 100000, -2, K2 &lt;= 1000000, -1, K2 &lt;= 4000000, -0.5, K2 &lt;= 10000000, -0.25, K2 &gt; 10000000, 0)*L2</f>
        <v>0</v>
      </c>
      <c r="N2" s="36">
        <f t="shared" ref="N2:N4" si="1">IFERROR(I2/G2,0)</f>
        <v>0.94932306779612763</v>
      </c>
      <c r="O2" s="37">
        <v>1</v>
      </c>
      <c r="P2" s="30" cm="1">
        <f t="array" ref="P2">_xlfn.IFS(N2&lt;=0.2, 0, N2 &lt;= 0.5, 1, N2 &lt;= 0.75, 3, N2 &lt;= 0.8, 3.5, N2 &lt;= 0.9, 4, N2&gt;0.9, 5)</f>
        <v>5</v>
      </c>
      <c r="Q2" s="30">
        <v>0</v>
      </c>
      <c r="R2" s="30">
        <f t="shared" ref="R2:R4" si="2">M2+P2+Q2</f>
        <v>5</v>
      </c>
      <c r="S2" s="28">
        <f>(R2/MAX($R$2:$R$7))*10</f>
        <v>10</v>
      </c>
      <c r="T2" s="30"/>
    </row>
    <row r="3" spans="1:20" s="5" customFormat="1" ht="27" customHeight="1">
      <c r="A3" s="27">
        <f>EvalSummary!$C$3</f>
        <v>127444</v>
      </c>
      <c r="B3" s="27" t="str">
        <f>EvalSummary!$C$2</f>
        <v>Houston CSD</v>
      </c>
      <c r="C3" s="27">
        <f>[1]EvalSummary!$C$4</f>
        <v>260017690</v>
      </c>
      <c r="D3" s="27">
        <f>EvalSummary!C14</f>
        <v>143030766</v>
      </c>
      <c r="E3" s="27" t="str">
        <f>EvalSummary!B14</f>
        <v>Kinetic (dark)</v>
      </c>
      <c r="F3" s="27" t="s">
        <v>40</v>
      </c>
      <c r="G3" s="29">
        <v>83337666.159999773</v>
      </c>
      <c r="H3" s="29"/>
      <c r="I3" s="29">
        <v>68783076.919999987</v>
      </c>
      <c r="J3" s="29"/>
      <c r="K3" s="29">
        <f t="shared" si="0"/>
        <v>68783076.919999987</v>
      </c>
      <c r="L3" s="34">
        <v>1</v>
      </c>
      <c r="M3" s="35" cm="1">
        <f t="array" ref="M3">_xlfn.IFS(K3 &lt;= 100000, -2, K3 &lt;= 1000000, -1, K3 &lt;= 4000000, -0.5, K3 &lt;= 10000000, -0.25, K3 &gt; 10000000, 0)*L3</f>
        <v>0</v>
      </c>
      <c r="N3" s="36">
        <f t="shared" si="1"/>
        <v>0.82535400964965266</v>
      </c>
      <c r="O3" s="37">
        <v>1</v>
      </c>
      <c r="P3" s="30" cm="1">
        <f t="array" ref="P3">_xlfn.IFS(N3&lt;=0.2, 0, N3 &lt;= 0.5, 1, N3 &lt;= 0.75, 3, N3 &lt;= 0.8, 3.5, N3 &lt;= 0.9, 4, N3&gt;0.9, 5)</f>
        <v>4</v>
      </c>
      <c r="Q3" s="30">
        <v>0</v>
      </c>
      <c r="R3" s="30">
        <f t="shared" si="2"/>
        <v>4</v>
      </c>
      <c r="S3" s="28">
        <f>(R3/MAX($R$2:$R$7))*10</f>
        <v>8</v>
      </c>
      <c r="T3" s="30"/>
    </row>
    <row r="4" spans="1:20" s="5" customFormat="1" ht="27" customHeight="1">
      <c r="A4" s="27">
        <f>EvalSummary!$C$3</f>
        <v>127444</v>
      </c>
      <c r="B4" s="27" t="str">
        <f>EvalSummary!$C$2</f>
        <v>Houston CSD</v>
      </c>
      <c r="C4" s="27">
        <f>[1]EvalSummary!$C$4</f>
        <v>260017690</v>
      </c>
      <c r="D4" s="27">
        <f>EvalSummary!C15</f>
        <v>143030766</v>
      </c>
      <c r="E4" s="27" t="str">
        <f>EvalSummary!B15</f>
        <v>Kinetic (lit)</v>
      </c>
      <c r="F4" s="27" t="s">
        <v>40</v>
      </c>
      <c r="G4" s="29">
        <v>83337666.159999773</v>
      </c>
      <c r="H4" s="29"/>
      <c r="I4" s="29">
        <v>68783076.919999987</v>
      </c>
      <c r="J4" s="29"/>
      <c r="K4" s="29">
        <f t="shared" si="0"/>
        <v>68783076.919999987</v>
      </c>
      <c r="L4" s="34">
        <v>1</v>
      </c>
      <c r="M4" s="35" cm="1">
        <f t="array" ref="M4">_xlfn.IFS(K4 &lt;= 100000, -2, K4 &lt;= 1000000, -1, K4 &lt;= 4000000, -0.5, K4 &lt;= 10000000, -0.25, K4 &gt; 10000000, 0)*L4</f>
        <v>0</v>
      </c>
      <c r="N4" s="36">
        <f t="shared" si="1"/>
        <v>0.82535400964965266</v>
      </c>
      <c r="O4" s="37">
        <v>1</v>
      </c>
      <c r="P4" s="30" cm="1">
        <f t="array" ref="P4">_xlfn.IFS(N4&lt;=0.2, 0, N4 &lt;= 0.5, 1, N4 &lt;= 0.75, 3, N4 &lt;= 0.8, 3.5, N4 &lt;= 0.9, 4, N4&gt;0.9, 5)</f>
        <v>4</v>
      </c>
      <c r="Q4" s="30">
        <v>0</v>
      </c>
      <c r="R4" s="30">
        <f t="shared" si="2"/>
        <v>4</v>
      </c>
      <c r="S4" s="28">
        <f>(R4/MAX($R$2:$R$7))*10</f>
        <v>8</v>
      </c>
      <c r="T4" s="30"/>
    </row>
    <row r="5" spans="1:20" ht="38.1" customHeight="1">
      <c r="A5" s="15"/>
      <c r="B5" s="15"/>
      <c r="C5" s="15"/>
      <c r="D5" s="15"/>
      <c r="E5" s="15"/>
      <c r="F5" s="15"/>
      <c r="G5" s="16"/>
      <c r="H5" s="16"/>
      <c r="I5" s="16"/>
      <c r="J5" s="16"/>
      <c r="K5" s="16"/>
      <c r="L5" s="19"/>
      <c r="M5" s="20"/>
      <c r="N5" s="21"/>
      <c r="O5" s="22"/>
      <c r="P5" s="17"/>
      <c r="Q5" s="17"/>
      <c r="R5" s="17"/>
      <c r="S5" s="23"/>
      <c r="T5" s="17"/>
    </row>
    <row r="6" spans="1:20">
      <c r="A6" s="3"/>
      <c r="B6" s="3"/>
      <c r="C6" s="3"/>
      <c r="D6" s="10" t="s">
        <v>47</v>
      </c>
      <c r="J6" s="39"/>
    </row>
    <row r="7" spans="1:20">
      <c r="J7" s="39"/>
      <c r="M7" s="20"/>
    </row>
    <row r="8" spans="1:20">
      <c r="J8" s="39"/>
    </row>
    <row r="9" spans="1:20">
      <c r="J9" s="39"/>
    </row>
    <row r="10" spans="1:20">
      <c r="J10" s="39"/>
    </row>
    <row r="11" spans="1:20">
      <c r="J11" s="39"/>
    </row>
    <row r="12" spans="1:20">
      <c r="J12" s="39"/>
    </row>
    <row r="13" spans="1:20">
      <c r="G13" s="8"/>
      <c r="H13" s="8"/>
      <c r="J13" s="39"/>
    </row>
    <row r="14" spans="1:20" s="2" customFormat="1">
      <c r="G14" s="8"/>
      <c r="H14" s="8"/>
      <c r="J14" s="39"/>
      <c r="T14" s="3"/>
    </row>
    <row r="15" spans="1:20" s="2" customFormat="1">
      <c r="G15" s="8"/>
      <c r="H15" s="9"/>
      <c r="T15" s="3"/>
    </row>
    <row r="16" spans="1:20" s="2" customFormat="1">
      <c r="G16" s="8"/>
      <c r="T16" s="3"/>
    </row>
  </sheetData>
  <printOptions horizontalCentered="1"/>
  <pageMargins left="0.25" right="0.25" top="0.75" bottom="0.75" header="0.3" footer="0.3"/>
  <pageSetup scale="4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FAE86-B034-4ED6-AB53-0CCEB15F7561}">
  <dimension ref="A1:L3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19" sqref="F19"/>
    </sheetView>
  </sheetViews>
  <sheetFormatPr defaultColWidth="8.625" defaultRowHeight="15.75"/>
  <cols>
    <col min="1" max="1" width="12.125" bestFit="1" customWidth="1"/>
    <col min="2" max="2" width="14" bestFit="1" customWidth="1"/>
    <col min="3" max="3" width="12.125" customWidth="1"/>
    <col min="4" max="4" width="21.375" bestFit="1" customWidth="1"/>
    <col min="5" max="5" width="10.625" bestFit="1" customWidth="1"/>
    <col min="6" max="6" width="23.5" bestFit="1" customWidth="1"/>
    <col min="7" max="7" width="10.25" style="92" bestFit="1" customWidth="1"/>
    <col min="9" max="9" width="11.625" bestFit="1" customWidth="1"/>
    <col min="10" max="10" width="8.125" style="94" bestFit="1" customWidth="1"/>
    <col min="11" max="11" width="35.375" customWidth="1"/>
    <col min="12" max="12" width="8.625" style="46"/>
  </cols>
  <sheetData>
    <row r="1" spans="1:12" s="86" customFormat="1" ht="30">
      <c r="A1" s="83" t="s">
        <v>53</v>
      </c>
      <c r="B1" s="83" t="s">
        <v>54</v>
      </c>
      <c r="C1" s="83" t="s">
        <v>64</v>
      </c>
      <c r="D1" s="83" t="s">
        <v>65</v>
      </c>
      <c r="E1" s="83" t="s">
        <v>55</v>
      </c>
      <c r="F1" s="83" t="s">
        <v>56</v>
      </c>
      <c r="G1" s="84" t="s">
        <v>57</v>
      </c>
      <c r="H1" s="83" t="s">
        <v>58</v>
      </c>
      <c r="I1" s="83" t="s">
        <v>59</v>
      </c>
      <c r="J1" s="85" t="s">
        <v>60</v>
      </c>
      <c r="K1" s="86" t="s">
        <v>61</v>
      </c>
      <c r="L1" s="86" t="s">
        <v>62</v>
      </c>
    </row>
    <row r="2" spans="1:12" s="90" customFormat="1" ht="12.75">
      <c r="A2" s="87"/>
      <c r="B2" s="87"/>
      <c r="C2" s="87"/>
      <c r="D2" s="87"/>
      <c r="E2" s="87"/>
      <c r="F2" s="87"/>
      <c r="G2" s="88"/>
      <c r="H2" s="87">
        <v>1</v>
      </c>
      <c r="I2" s="88">
        <f t="shared" ref="I2:I11" si="0">SUM(G2:G2)*H2</f>
        <v>0</v>
      </c>
      <c r="J2" s="89">
        <v>1</v>
      </c>
      <c r="L2" s="91" t="s">
        <v>63</v>
      </c>
    </row>
    <row r="3" spans="1:12" s="90" customFormat="1" ht="12.75">
      <c r="A3" s="87"/>
      <c r="B3" s="87"/>
      <c r="C3" s="87"/>
      <c r="D3" s="87"/>
      <c r="E3" s="87"/>
      <c r="F3" s="87"/>
      <c r="G3" s="88"/>
      <c r="H3" s="87">
        <v>1</v>
      </c>
      <c r="I3" s="88">
        <f t="shared" ref="I3" si="1">SUM(G3:G3)*H3</f>
        <v>0</v>
      </c>
      <c r="J3" s="89">
        <v>1</v>
      </c>
      <c r="L3" s="91" t="s">
        <v>63</v>
      </c>
    </row>
    <row r="4" spans="1:12" s="90" customFormat="1" ht="12.75">
      <c r="A4" s="87"/>
      <c r="B4" s="87"/>
      <c r="C4" s="87"/>
      <c r="D4" s="87"/>
      <c r="E4" s="87"/>
      <c r="F4" s="87"/>
      <c r="G4" s="88"/>
      <c r="H4" s="87">
        <v>1</v>
      </c>
      <c r="I4" s="88">
        <f t="shared" si="0"/>
        <v>0</v>
      </c>
      <c r="J4" s="89">
        <v>1</v>
      </c>
      <c r="L4" s="91" t="s">
        <v>63</v>
      </c>
    </row>
    <row r="5" spans="1:12" s="90" customFormat="1" ht="12.75">
      <c r="A5" s="87"/>
      <c r="B5" s="87"/>
      <c r="C5" s="87"/>
      <c r="D5" s="87"/>
      <c r="E5" s="87"/>
      <c r="F5" s="87"/>
      <c r="G5" s="88"/>
      <c r="H5" s="87">
        <v>1</v>
      </c>
      <c r="I5" s="88">
        <f t="shared" ref="I5" si="2">SUM(G5:G5)*H5</f>
        <v>0</v>
      </c>
      <c r="J5" s="89">
        <v>1</v>
      </c>
      <c r="L5" s="91" t="s">
        <v>63</v>
      </c>
    </row>
    <row r="6" spans="1:12" s="90" customFormat="1" ht="12.75">
      <c r="A6" s="87"/>
      <c r="B6" s="87"/>
      <c r="C6" s="87"/>
      <c r="D6" s="87"/>
      <c r="E6" s="87"/>
      <c r="F6" s="87"/>
      <c r="G6" s="88"/>
      <c r="H6" s="87">
        <v>1</v>
      </c>
      <c r="I6" s="88">
        <f t="shared" si="0"/>
        <v>0</v>
      </c>
      <c r="J6" s="89">
        <v>1</v>
      </c>
      <c r="L6" s="91" t="s">
        <v>63</v>
      </c>
    </row>
    <row r="7" spans="1:12" s="90" customFormat="1" ht="12.75">
      <c r="A7" s="87"/>
      <c r="B7" s="87"/>
      <c r="C7" s="87"/>
      <c r="D7" s="87"/>
      <c r="E7" s="87"/>
      <c r="F7" s="87"/>
      <c r="G7" s="88"/>
      <c r="H7" s="87">
        <v>1</v>
      </c>
      <c r="I7" s="88">
        <f t="shared" si="0"/>
        <v>0</v>
      </c>
      <c r="J7" s="89">
        <v>1</v>
      </c>
      <c r="L7" s="91" t="s">
        <v>63</v>
      </c>
    </row>
    <row r="8" spans="1:12" s="90" customFormat="1" ht="12.75">
      <c r="A8" s="87"/>
      <c r="B8" s="87"/>
      <c r="C8" s="87"/>
      <c r="D8" s="87"/>
      <c r="E8" s="87"/>
      <c r="F8" s="87"/>
      <c r="G8" s="88"/>
      <c r="H8" s="87">
        <v>1</v>
      </c>
      <c r="I8" s="88">
        <f t="shared" si="0"/>
        <v>0</v>
      </c>
      <c r="J8" s="89">
        <v>1</v>
      </c>
      <c r="L8" s="91" t="s">
        <v>63</v>
      </c>
    </row>
    <row r="9" spans="1:12" s="90" customFormat="1" ht="12.75">
      <c r="A9" s="87"/>
      <c r="B9" s="87"/>
      <c r="C9" s="87"/>
      <c r="D9" s="87"/>
      <c r="E9" s="87"/>
      <c r="F9" s="87"/>
      <c r="G9" s="88"/>
      <c r="H9" s="87">
        <v>1</v>
      </c>
      <c r="I9" s="88">
        <f t="shared" ref="I9" si="3">SUM(G9:G9)*H9</f>
        <v>0</v>
      </c>
      <c r="J9" s="89">
        <v>1</v>
      </c>
      <c r="L9" s="91" t="s">
        <v>63</v>
      </c>
    </row>
    <row r="10" spans="1:12" s="90" customFormat="1" ht="12.75">
      <c r="A10" s="87"/>
      <c r="B10" s="87"/>
      <c r="C10" s="87"/>
      <c r="D10" s="87"/>
      <c r="E10" s="87"/>
      <c r="F10" s="87"/>
      <c r="G10" s="88"/>
      <c r="H10" s="87">
        <v>1</v>
      </c>
      <c r="I10" s="88">
        <f t="shared" si="0"/>
        <v>0</v>
      </c>
      <c r="J10" s="89">
        <v>1</v>
      </c>
      <c r="L10" s="91" t="s">
        <v>63</v>
      </c>
    </row>
    <row r="11" spans="1:12" s="90" customFormat="1" ht="12.75">
      <c r="A11" s="87"/>
      <c r="B11" s="87"/>
      <c r="C11" s="87"/>
      <c r="D11" s="87"/>
      <c r="E11" s="87"/>
      <c r="F11" s="87"/>
      <c r="G11" s="88"/>
      <c r="H11" s="87">
        <v>1</v>
      </c>
      <c r="I11" s="88">
        <f t="shared" si="0"/>
        <v>0</v>
      </c>
      <c r="J11" s="89">
        <v>1</v>
      </c>
      <c r="L11" s="91" t="s">
        <v>63</v>
      </c>
    </row>
    <row r="12" spans="1:12" s="90" customFormat="1" ht="12.75">
      <c r="A12" s="87"/>
      <c r="B12" s="87"/>
      <c r="C12" s="87"/>
      <c r="D12" s="87"/>
      <c r="E12" s="87"/>
      <c r="F12" s="87"/>
      <c r="G12" s="88"/>
      <c r="H12" s="87">
        <v>1</v>
      </c>
      <c r="I12" s="88">
        <f t="shared" ref="I12:I28" si="4">SUM(G12:G12)*H12</f>
        <v>0</v>
      </c>
      <c r="J12" s="89">
        <v>1</v>
      </c>
      <c r="L12" s="91" t="s">
        <v>63</v>
      </c>
    </row>
    <row r="13" spans="1:12" s="90" customFormat="1" ht="12.75">
      <c r="A13" s="87"/>
      <c r="B13" s="87"/>
      <c r="C13" s="87"/>
      <c r="D13" s="87"/>
      <c r="E13" s="87"/>
      <c r="F13" s="87"/>
      <c r="G13" s="88"/>
      <c r="H13" s="87">
        <v>1</v>
      </c>
      <c r="I13" s="88">
        <f t="shared" ref="I13" si="5">SUM(G13:G13)*H13</f>
        <v>0</v>
      </c>
      <c r="J13" s="89">
        <v>1</v>
      </c>
      <c r="L13" s="91" t="s">
        <v>63</v>
      </c>
    </row>
    <row r="14" spans="1:12" s="90" customFormat="1" ht="12.75">
      <c r="A14" s="87"/>
      <c r="B14" s="87"/>
      <c r="C14" s="87"/>
      <c r="D14" s="87"/>
      <c r="E14" s="87"/>
      <c r="F14" s="87"/>
      <c r="G14" s="88"/>
      <c r="H14" s="87">
        <v>1</v>
      </c>
      <c r="I14" s="88">
        <f t="shared" si="4"/>
        <v>0</v>
      </c>
      <c r="J14" s="89">
        <v>1</v>
      </c>
      <c r="L14" s="91" t="s">
        <v>63</v>
      </c>
    </row>
    <row r="15" spans="1:12" s="90" customFormat="1" ht="12.75">
      <c r="A15" s="87"/>
      <c r="B15" s="87"/>
      <c r="C15" s="87"/>
      <c r="D15" s="87"/>
      <c r="E15" s="87"/>
      <c r="F15" s="87"/>
      <c r="G15" s="88"/>
      <c r="H15" s="87">
        <v>1</v>
      </c>
      <c r="I15" s="88">
        <f t="shared" ref="I15" si="6">SUM(G15:G15)*H15</f>
        <v>0</v>
      </c>
      <c r="J15" s="89">
        <v>1</v>
      </c>
      <c r="L15" s="91" t="s">
        <v>63</v>
      </c>
    </row>
    <row r="16" spans="1:12" s="90" customFormat="1" ht="12.75">
      <c r="A16" s="87"/>
      <c r="B16" s="87"/>
      <c r="C16" s="87"/>
      <c r="D16" s="87"/>
      <c r="E16" s="87"/>
      <c r="F16" s="87"/>
      <c r="G16" s="88"/>
      <c r="H16" s="87">
        <v>1</v>
      </c>
      <c r="I16" s="88">
        <f t="shared" si="4"/>
        <v>0</v>
      </c>
      <c r="J16" s="89">
        <v>1</v>
      </c>
      <c r="L16" s="91" t="s">
        <v>63</v>
      </c>
    </row>
    <row r="17" spans="1:12" s="90" customFormat="1" ht="12.75">
      <c r="A17" s="87"/>
      <c r="B17" s="87"/>
      <c r="C17" s="87"/>
      <c r="D17" s="87"/>
      <c r="E17" s="87"/>
      <c r="F17" s="87"/>
      <c r="G17" s="88"/>
      <c r="H17" s="87">
        <v>1</v>
      </c>
      <c r="I17" s="88">
        <f t="shared" si="4"/>
        <v>0</v>
      </c>
      <c r="J17" s="89">
        <v>1</v>
      </c>
      <c r="L17" s="91" t="s">
        <v>63</v>
      </c>
    </row>
    <row r="18" spans="1:12" s="90" customFormat="1" ht="12.75">
      <c r="A18" s="87"/>
      <c r="B18" s="87"/>
      <c r="C18" s="87"/>
      <c r="D18" s="87"/>
      <c r="E18" s="87"/>
      <c r="F18" s="87"/>
      <c r="G18" s="88"/>
      <c r="H18" s="87">
        <v>1</v>
      </c>
      <c r="I18" s="88">
        <f t="shared" si="4"/>
        <v>0</v>
      </c>
      <c r="J18" s="89">
        <v>1</v>
      </c>
      <c r="L18" s="91" t="s">
        <v>63</v>
      </c>
    </row>
    <row r="19" spans="1:12" s="90" customFormat="1" ht="12.75">
      <c r="A19" s="87"/>
      <c r="B19" s="87"/>
      <c r="C19" s="87"/>
      <c r="D19" s="87"/>
      <c r="E19" s="87"/>
      <c r="F19" s="87"/>
      <c r="G19" s="88"/>
      <c r="H19" s="87">
        <v>1</v>
      </c>
      <c r="I19" s="88">
        <f t="shared" si="4"/>
        <v>0</v>
      </c>
      <c r="J19" s="89">
        <v>1</v>
      </c>
      <c r="L19" s="91" t="s">
        <v>63</v>
      </c>
    </row>
    <row r="20" spans="1:12" s="90" customFormat="1" ht="12.75">
      <c r="A20" s="87"/>
      <c r="B20" s="87"/>
      <c r="C20" s="87"/>
      <c r="D20" s="87"/>
      <c r="E20" s="87"/>
      <c r="F20" s="87"/>
      <c r="G20" s="88"/>
      <c r="H20" s="87">
        <v>1</v>
      </c>
      <c r="I20" s="88">
        <f t="shared" ref="I20" si="7">SUM(G20:G20)*H20</f>
        <v>0</v>
      </c>
      <c r="J20" s="89">
        <v>1</v>
      </c>
      <c r="L20" s="91" t="s">
        <v>63</v>
      </c>
    </row>
    <row r="21" spans="1:12" s="90" customFormat="1" ht="12.75">
      <c r="A21" s="87"/>
      <c r="B21" s="87"/>
      <c r="C21" s="87"/>
      <c r="D21" s="87"/>
      <c r="E21" s="87"/>
      <c r="F21" s="87"/>
      <c r="G21" s="88"/>
      <c r="H21" s="87">
        <v>1</v>
      </c>
      <c r="I21" s="88">
        <f t="shared" si="4"/>
        <v>0</v>
      </c>
      <c r="J21" s="89">
        <v>1</v>
      </c>
      <c r="L21" s="91" t="s">
        <v>63</v>
      </c>
    </row>
    <row r="22" spans="1:12" s="90" customFormat="1" ht="12.75">
      <c r="A22" s="87"/>
      <c r="B22" s="87"/>
      <c r="C22" s="87"/>
      <c r="D22" s="87"/>
      <c r="E22" s="87"/>
      <c r="F22" s="87"/>
      <c r="G22" s="88"/>
      <c r="H22" s="87">
        <v>1</v>
      </c>
      <c r="I22" s="88">
        <f t="shared" si="4"/>
        <v>0</v>
      </c>
      <c r="J22" s="89">
        <v>1</v>
      </c>
      <c r="L22" s="91" t="s">
        <v>63</v>
      </c>
    </row>
    <row r="23" spans="1:12" s="90" customFormat="1" ht="12.75">
      <c r="A23" s="87"/>
      <c r="B23" s="87"/>
      <c r="C23" s="87"/>
      <c r="D23" s="87"/>
      <c r="E23" s="87"/>
      <c r="F23" s="87"/>
      <c r="G23" s="88"/>
      <c r="H23" s="87">
        <v>1</v>
      </c>
      <c r="I23" s="88">
        <f t="shared" si="4"/>
        <v>0</v>
      </c>
      <c r="J23" s="89">
        <v>1</v>
      </c>
      <c r="L23" s="91" t="s">
        <v>63</v>
      </c>
    </row>
    <row r="24" spans="1:12" s="90" customFormat="1" ht="12.75">
      <c r="A24" s="87"/>
      <c r="B24" s="87"/>
      <c r="C24" s="87"/>
      <c r="D24" s="87"/>
      <c r="E24" s="87"/>
      <c r="F24" s="87"/>
      <c r="G24" s="88"/>
      <c r="H24" s="87">
        <v>1</v>
      </c>
      <c r="I24" s="88">
        <f t="shared" si="4"/>
        <v>0</v>
      </c>
      <c r="J24" s="89">
        <v>1</v>
      </c>
      <c r="L24" s="91" t="s">
        <v>63</v>
      </c>
    </row>
    <row r="25" spans="1:12" s="90" customFormat="1" ht="12.75">
      <c r="A25" s="87"/>
      <c r="B25" s="87"/>
      <c r="C25" s="87"/>
      <c r="D25" s="87"/>
      <c r="E25" s="87"/>
      <c r="F25" s="87"/>
      <c r="G25" s="88"/>
      <c r="H25" s="87">
        <v>1</v>
      </c>
      <c r="I25" s="88">
        <f t="shared" si="4"/>
        <v>0</v>
      </c>
      <c r="J25" s="89">
        <v>1</v>
      </c>
      <c r="L25" s="91" t="s">
        <v>63</v>
      </c>
    </row>
    <row r="26" spans="1:12" s="90" customFormat="1" ht="12.75">
      <c r="A26" s="87"/>
      <c r="B26" s="87"/>
      <c r="C26" s="87"/>
      <c r="D26" s="87"/>
      <c r="E26" s="87"/>
      <c r="F26" s="87"/>
      <c r="G26" s="88"/>
      <c r="H26" s="87">
        <v>1</v>
      </c>
      <c r="I26" s="88">
        <f t="shared" si="4"/>
        <v>0</v>
      </c>
      <c r="J26" s="89">
        <v>1</v>
      </c>
      <c r="L26" s="91" t="s">
        <v>63</v>
      </c>
    </row>
    <row r="27" spans="1:12" s="90" customFormat="1" ht="12.75">
      <c r="A27" s="87"/>
      <c r="B27" s="87"/>
      <c r="C27" s="87"/>
      <c r="D27" s="87"/>
      <c r="E27" s="87"/>
      <c r="F27" s="87"/>
      <c r="G27" s="88"/>
      <c r="H27" s="87">
        <v>1</v>
      </c>
      <c r="I27" s="88">
        <f t="shared" si="4"/>
        <v>0</v>
      </c>
      <c r="J27" s="89">
        <v>1</v>
      </c>
      <c r="L27" s="91" t="s">
        <v>63</v>
      </c>
    </row>
    <row r="28" spans="1:12" s="90" customFormat="1" ht="12.75">
      <c r="A28" s="87"/>
      <c r="B28" s="87"/>
      <c r="C28" s="87"/>
      <c r="D28" s="87"/>
      <c r="E28" s="87"/>
      <c r="F28" s="87"/>
      <c r="G28" s="88"/>
      <c r="H28" s="87">
        <v>1</v>
      </c>
      <c r="I28" s="88">
        <f t="shared" si="4"/>
        <v>0</v>
      </c>
      <c r="J28" s="89">
        <v>1</v>
      </c>
      <c r="L28" s="91" t="s">
        <v>63</v>
      </c>
    </row>
    <row r="29" spans="1:12" ht="16.5" thickBot="1">
      <c r="I29" s="93">
        <f>SUBTOTAL(9,I2:I28)</f>
        <v>0</v>
      </c>
    </row>
    <row r="30" spans="1:12" ht="16.5" thickTop="1"/>
  </sheetData>
  <autoFilter ref="A1:L28" xr:uid="{D59FAE86-B034-4ED6-AB53-0CCEB15F7561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45C7C-1C9E-42D6-8BF9-11508C866FBC}">
  <dimension ref="A1:AF37"/>
  <sheetViews>
    <sheetView topLeftCell="D1" workbookViewId="0">
      <pane xSplit="12" ySplit="1" topLeftCell="P2" activePane="bottomRight" state="frozen"/>
      <selection activeCell="D1" sqref="D1"/>
      <selection pane="topRight" activeCell="P1" sqref="P1"/>
      <selection pane="bottomLeft" activeCell="D2" sqref="D2"/>
      <selection pane="bottomRight" activeCell="D2" sqref="D2"/>
    </sheetView>
  </sheetViews>
  <sheetFormatPr defaultColWidth="8.625" defaultRowHeight="15"/>
  <cols>
    <col min="1" max="1" width="8.625" style="65"/>
    <col min="2" max="2" width="19.5" style="65" bestFit="1" customWidth="1"/>
    <col min="3" max="3" width="7.5" style="65" bestFit="1" customWidth="1"/>
    <col min="4" max="4" width="11" style="67" bestFit="1" customWidth="1"/>
    <col min="5" max="5" width="10.125" style="67" bestFit="1" customWidth="1"/>
    <col min="6" max="6" width="10.125" style="68" customWidth="1"/>
    <col min="7" max="7" width="13.125" style="67" bestFit="1" customWidth="1"/>
    <col min="8" max="8" width="8.625" style="67"/>
    <col min="9" max="9" width="13.5" style="65" bestFit="1" customWidth="1"/>
    <col min="10" max="10" width="15.375" style="67" bestFit="1" customWidth="1"/>
    <col min="11" max="11" width="9.875" style="67" bestFit="1" customWidth="1"/>
    <col min="12" max="12" width="20.375" style="67" bestFit="1" customWidth="1"/>
    <col min="13" max="13" width="22.375" style="67" bestFit="1" customWidth="1"/>
    <col min="14" max="14" width="10" style="67" bestFit="1" customWidth="1"/>
    <col min="15" max="15" width="13.625" style="69" customWidth="1"/>
    <col min="16" max="16" width="12" style="70" bestFit="1" customWidth="1"/>
    <col min="17" max="17" width="11.5" style="65" bestFit="1" customWidth="1"/>
    <col min="18" max="18" width="13" style="65" bestFit="1" customWidth="1"/>
    <col min="19" max="19" width="12.625" style="70" bestFit="1" customWidth="1"/>
    <col min="20" max="20" width="12.125" style="69" bestFit="1" customWidth="1"/>
    <col min="21" max="21" width="13.625" style="71" bestFit="1" customWidth="1"/>
    <col min="22" max="22" width="12.625" style="72" bestFit="1" customWidth="1"/>
    <col min="23" max="24" width="13.625" style="71" customWidth="1"/>
    <col min="25" max="25" width="13.125" style="69" bestFit="1" customWidth="1"/>
    <col min="26" max="26" width="13.5" style="67" bestFit="1" customWidth="1"/>
    <col min="27" max="27" width="9" style="67" bestFit="1" customWidth="1"/>
    <col min="28" max="28" width="9.875" style="67" bestFit="1" customWidth="1"/>
    <col min="29" max="29" width="10.875" style="68" bestFit="1" customWidth="1"/>
    <col min="30" max="30" width="6.875" style="74" customWidth="1"/>
    <col min="31" max="31" width="11.125" style="75" bestFit="1" customWidth="1"/>
    <col min="32" max="32" width="15.125" style="75" bestFit="1" customWidth="1"/>
    <col min="33" max="16384" width="8.625" style="65"/>
  </cols>
  <sheetData>
    <row r="1" spans="1:32" s="56" customFormat="1">
      <c r="A1" s="56" t="s">
        <v>70</v>
      </c>
      <c r="B1" s="56" t="s">
        <v>71</v>
      </c>
      <c r="C1" s="56" t="s">
        <v>72</v>
      </c>
      <c r="D1" s="56" t="s">
        <v>53</v>
      </c>
      <c r="E1" s="56" t="s">
        <v>73</v>
      </c>
      <c r="F1" s="57" t="s">
        <v>74</v>
      </c>
      <c r="G1" s="56" t="s">
        <v>75</v>
      </c>
      <c r="H1" s="56" t="s">
        <v>76</v>
      </c>
      <c r="I1" s="56" t="s">
        <v>77</v>
      </c>
      <c r="J1" s="56" t="s">
        <v>65</v>
      </c>
      <c r="K1" s="56" t="s">
        <v>55</v>
      </c>
      <c r="L1" s="56" t="s">
        <v>78</v>
      </c>
      <c r="M1" s="56" t="s">
        <v>79</v>
      </c>
      <c r="N1" s="56" t="s">
        <v>80</v>
      </c>
      <c r="O1" s="58" t="s">
        <v>81</v>
      </c>
      <c r="P1" s="59" t="s">
        <v>82</v>
      </c>
      <c r="Q1" s="56" t="s">
        <v>83</v>
      </c>
      <c r="R1" s="56" t="s">
        <v>84</v>
      </c>
      <c r="S1" s="59" t="s">
        <v>85</v>
      </c>
      <c r="T1" s="58" t="s">
        <v>86</v>
      </c>
      <c r="U1" s="60" t="s">
        <v>87</v>
      </c>
      <c r="V1" s="59" t="s">
        <v>88</v>
      </c>
      <c r="W1" s="60" t="s">
        <v>89</v>
      </c>
      <c r="X1" s="60" t="s">
        <v>90</v>
      </c>
      <c r="Y1" s="61" t="s">
        <v>91</v>
      </c>
      <c r="Z1" s="62" t="s">
        <v>92</v>
      </c>
      <c r="AA1" s="56">
        <v>471</v>
      </c>
      <c r="AB1" s="56" t="s">
        <v>93</v>
      </c>
      <c r="AC1" s="57" t="s">
        <v>94</v>
      </c>
      <c r="AD1" s="63" t="s">
        <v>95</v>
      </c>
      <c r="AE1" s="64" t="s">
        <v>96</v>
      </c>
      <c r="AF1" s="64" t="s">
        <v>97</v>
      </c>
    </row>
    <row r="2" spans="1:32">
      <c r="D2" s="66"/>
      <c r="N2" s="67">
        <v>1</v>
      </c>
      <c r="P2" s="70">
        <v>1</v>
      </c>
      <c r="Q2" s="69">
        <f>ROUND(SUM(O2*P2),2)</f>
        <v>0</v>
      </c>
      <c r="R2" s="69">
        <f>SUM(O2-Q2)</f>
        <v>0</v>
      </c>
      <c r="S2" s="70">
        <v>0.96099999999999997</v>
      </c>
      <c r="T2" s="69">
        <f>ROUND(SUM(Q2*S2),2)</f>
        <v>0</v>
      </c>
      <c r="U2" s="71">
        <f>SUM(Q2-T2)</f>
        <v>0</v>
      </c>
      <c r="V2" s="72">
        <v>1</v>
      </c>
      <c r="W2" s="71">
        <f t="shared" ref="W2:W5" si="0">ROUND(SUM(T2*V2),2)</f>
        <v>0</v>
      </c>
      <c r="X2" s="71">
        <f t="shared" ref="X2:X5" si="1">SUM(T2-W2)</f>
        <v>0</v>
      </c>
      <c r="Y2" s="69">
        <f t="shared" ref="Y2:Y5" si="2">W2</f>
        <v>0</v>
      </c>
      <c r="Z2" s="73">
        <f t="shared" ref="Z2:Z5" si="3">SUM(O2-Y2)</f>
        <v>0</v>
      </c>
      <c r="AC2" s="65"/>
      <c r="AD2" s="74">
        <v>0.85</v>
      </c>
      <c r="AE2" s="75">
        <f t="shared" ref="AE2:AE9" si="4">SUM(Y2*AD2)</f>
        <v>0</v>
      </c>
      <c r="AF2" s="75">
        <f t="shared" ref="AF2:AF9" si="5">SUM(O2-AE2)</f>
        <v>0</v>
      </c>
    </row>
    <row r="3" spans="1:32">
      <c r="D3" s="66"/>
      <c r="N3" s="67">
        <v>1</v>
      </c>
      <c r="P3" s="70">
        <v>1</v>
      </c>
      <c r="Q3" s="69">
        <f t="shared" ref="Q3:Q5" si="6">ROUND(SUM(O3*P3),2)</f>
        <v>0</v>
      </c>
      <c r="R3" s="69">
        <f t="shared" ref="R3:R5" si="7">SUM(O3-Q3)</f>
        <v>0</v>
      </c>
      <c r="S3" s="70">
        <v>0.96099999999999997</v>
      </c>
      <c r="T3" s="69">
        <f t="shared" ref="T3:T5" si="8">ROUND(SUM(Q3*S3),2)</f>
        <v>0</v>
      </c>
      <c r="U3" s="71">
        <f t="shared" ref="U3:U5" si="9">SUM(Q3-T3)</f>
        <v>0</v>
      </c>
      <c r="V3" s="72">
        <v>1</v>
      </c>
      <c r="W3" s="71">
        <f t="shared" si="0"/>
        <v>0</v>
      </c>
      <c r="X3" s="71">
        <f t="shared" si="1"/>
        <v>0</v>
      </c>
      <c r="Y3" s="69">
        <f t="shared" si="2"/>
        <v>0</v>
      </c>
      <c r="Z3" s="73">
        <f t="shared" si="3"/>
        <v>0</v>
      </c>
      <c r="AC3" s="65"/>
      <c r="AD3" s="74">
        <v>0.85</v>
      </c>
      <c r="AE3" s="75">
        <f t="shared" si="4"/>
        <v>0</v>
      </c>
      <c r="AF3" s="75">
        <f t="shared" si="5"/>
        <v>0</v>
      </c>
    </row>
    <row r="4" spans="1:32">
      <c r="D4" s="66"/>
      <c r="N4" s="67">
        <v>1</v>
      </c>
      <c r="P4" s="70">
        <v>1</v>
      </c>
      <c r="Q4" s="69">
        <f t="shared" si="6"/>
        <v>0</v>
      </c>
      <c r="R4" s="69">
        <f t="shared" si="7"/>
        <v>0</v>
      </c>
      <c r="S4" s="70">
        <v>0.96099999999999997</v>
      </c>
      <c r="T4" s="69">
        <f t="shared" si="8"/>
        <v>0</v>
      </c>
      <c r="U4" s="71">
        <f t="shared" si="9"/>
        <v>0</v>
      </c>
      <c r="V4" s="72">
        <v>1</v>
      </c>
      <c r="W4" s="71">
        <f t="shared" si="0"/>
        <v>0</v>
      </c>
      <c r="X4" s="71">
        <f t="shared" si="1"/>
        <v>0</v>
      </c>
      <c r="Y4" s="69">
        <f t="shared" si="2"/>
        <v>0</v>
      </c>
      <c r="Z4" s="73">
        <f t="shared" si="3"/>
        <v>0</v>
      </c>
      <c r="AC4" s="65"/>
      <c r="AD4" s="74">
        <v>0.85</v>
      </c>
      <c r="AE4" s="75">
        <f t="shared" si="4"/>
        <v>0</v>
      </c>
      <c r="AF4" s="75">
        <f t="shared" si="5"/>
        <v>0</v>
      </c>
    </row>
    <row r="5" spans="1:32">
      <c r="D5" s="66"/>
      <c r="N5" s="67">
        <v>1</v>
      </c>
      <c r="P5" s="70">
        <v>1</v>
      </c>
      <c r="Q5" s="69">
        <f t="shared" si="6"/>
        <v>0</v>
      </c>
      <c r="R5" s="69">
        <f t="shared" si="7"/>
        <v>0</v>
      </c>
      <c r="S5" s="70">
        <v>0.96099999999999997</v>
      </c>
      <c r="T5" s="69">
        <f t="shared" si="8"/>
        <v>0</v>
      </c>
      <c r="U5" s="71">
        <f t="shared" si="9"/>
        <v>0</v>
      </c>
      <c r="V5" s="72">
        <v>1</v>
      </c>
      <c r="W5" s="71">
        <f t="shared" si="0"/>
        <v>0</v>
      </c>
      <c r="X5" s="71">
        <f t="shared" si="1"/>
        <v>0</v>
      </c>
      <c r="Y5" s="69">
        <f t="shared" si="2"/>
        <v>0</v>
      </c>
      <c r="Z5" s="73">
        <f t="shared" si="3"/>
        <v>0</v>
      </c>
      <c r="AC5" s="65"/>
      <c r="AD5" s="74">
        <v>0.85</v>
      </c>
      <c r="AE5" s="75">
        <f t="shared" si="4"/>
        <v>0</v>
      </c>
      <c r="AF5" s="75">
        <f t="shared" si="5"/>
        <v>0</v>
      </c>
    </row>
    <row r="6" spans="1:32">
      <c r="D6" s="66"/>
      <c r="N6" s="67">
        <v>1</v>
      </c>
      <c r="P6" s="70">
        <v>1</v>
      </c>
      <c r="Q6" s="69">
        <f>ROUND(SUM(O6*P6),2)</f>
        <v>0</v>
      </c>
      <c r="R6" s="69">
        <f>SUM(O6-Q6)</f>
        <v>0</v>
      </c>
      <c r="S6" s="70">
        <v>0.96099999999999997</v>
      </c>
      <c r="T6" s="69">
        <f>ROUND(SUM(Q6*S6),2)</f>
        <v>0</v>
      </c>
      <c r="U6" s="71">
        <f>SUM(Q6-T6)</f>
        <v>0</v>
      </c>
      <c r="V6" s="72">
        <v>1</v>
      </c>
      <c r="W6" s="71">
        <f t="shared" ref="W6:W10" si="10">ROUND(SUM(T6*V6),2)</f>
        <v>0</v>
      </c>
      <c r="X6" s="71">
        <f t="shared" ref="X6:X10" si="11">SUM(T6-W6)</f>
        <v>0</v>
      </c>
      <c r="Y6" s="69">
        <f t="shared" ref="Y6:Y10" si="12">W6</f>
        <v>0</v>
      </c>
      <c r="Z6" s="73">
        <f t="shared" ref="Z6:Z10" si="13">SUM(O6-Y6)</f>
        <v>0</v>
      </c>
      <c r="AC6" s="65"/>
      <c r="AD6" s="74">
        <v>0.85</v>
      </c>
      <c r="AE6" s="75">
        <f t="shared" si="4"/>
        <v>0</v>
      </c>
      <c r="AF6" s="75">
        <f t="shared" si="5"/>
        <v>0</v>
      </c>
    </row>
    <row r="7" spans="1:32">
      <c r="D7" s="66"/>
      <c r="N7" s="67">
        <v>1</v>
      </c>
      <c r="P7" s="70">
        <v>1</v>
      </c>
      <c r="Q7" s="69">
        <f t="shared" ref="Q7:Q9" si="14">ROUND(SUM(O7*P7),2)</f>
        <v>0</v>
      </c>
      <c r="R7" s="69">
        <f t="shared" ref="R7:R9" si="15">SUM(O7-Q7)</f>
        <v>0</v>
      </c>
      <c r="S7" s="70">
        <v>0.96099999999999997</v>
      </c>
      <c r="T7" s="69">
        <f t="shared" ref="T7:T10" si="16">ROUND(SUM(Q7*S7),2)</f>
        <v>0</v>
      </c>
      <c r="U7" s="71">
        <f t="shared" ref="U7:U10" si="17">SUM(Q7-T7)</f>
        <v>0</v>
      </c>
      <c r="V7" s="72">
        <v>1</v>
      </c>
      <c r="W7" s="71">
        <f t="shared" si="10"/>
        <v>0</v>
      </c>
      <c r="X7" s="71">
        <f t="shared" si="11"/>
        <v>0</v>
      </c>
      <c r="Y7" s="69">
        <f t="shared" si="12"/>
        <v>0</v>
      </c>
      <c r="Z7" s="73">
        <f t="shared" si="13"/>
        <v>0</v>
      </c>
      <c r="AC7" s="65"/>
      <c r="AD7" s="74">
        <v>0.85</v>
      </c>
      <c r="AE7" s="75">
        <f t="shared" si="4"/>
        <v>0</v>
      </c>
      <c r="AF7" s="75">
        <f t="shared" si="5"/>
        <v>0</v>
      </c>
    </row>
    <row r="8" spans="1:32">
      <c r="D8" s="66"/>
      <c r="N8" s="67">
        <v>1</v>
      </c>
      <c r="P8" s="70">
        <v>1</v>
      </c>
      <c r="Q8" s="69">
        <f t="shared" si="14"/>
        <v>0</v>
      </c>
      <c r="R8" s="69">
        <f t="shared" si="15"/>
        <v>0</v>
      </c>
      <c r="S8" s="70">
        <v>0.96099999999999997</v>
      </c>
      <c r="T8" s="69">
        <f t="shared" si="16"/>
        <v>0</v>
      </c>
      <c r="U8" s="71">
        <f t="shared" si="17"/>
        <v>0</v>
      </c>
      <c r="V8" s="72">
        <v>1</v>
      </c>
      <c r="W8" s="71">
        <f t="shared" si="10"/>
        <v>0</v>
      </c>
      <c r="X8" s="71">
        <f t="shared" si="11"/>
        <v>0</v>
      </c>
      <c r="Y8" s="69">
        <f t="shared" si="12"/>
        <v>0</v>
      </c>
      <c r="Z8" s="73">
        <f t="shared" si="13"/>
        <v>0</v>
      </c>
      <c r="AC8" s="65"/>
      <c r="AD8" s="74">
        <v>0.85</v>
      </c>
      <c r="AE8" s="75">
        <f t="shared" si="4"/>
        <v>0</v>
      </c>
      <c r="AF8" s="75">
        <f t="shared" si="5"/>
        <v>0</v>
      </c>
    </row>
    <row r="9" spans="1:32">
      <c r="D9" s="66"/>
      <c r="N9" s="67">
        <v>1</v>
      </c>
      <c r="P9" s="70">
        <v>1</v>
      </c>
      <c r="Q9" s="69">
        <f t="shared" si="14"/>
        <v>0</v>
      </c>
      <c r="R9" s="69">
        <f t="shared" si="15"/>
        <v>0</v>
      </c>
      <c r="S9" s="70">
        <v>0.96099999999999997</v>
      </c>
      <c r="T9" s="69">
        <f t="shared" si="16"/>
        <v>0</v>
      </c>
      <c r="U9" s="71">
        <f t="shared" si="17"/>
        <v>0</v>
      </c>
      <c r="V9" s="72">
        <v>1</v>
      </c>
      <c r="W9" s="71">
        <f t="shared" si="10"/>
        <v>0</v>
      </c>
      <c r="X9" s="71">
        <f t="shared" si="11"/>
        <v>0</v>
      </c>
      <c r="Y9" s="69">
        <f t="shared" si="12"/>
        <v>0</v>
      </c>
      <c r="Z9" s="73">
        <f t="shared" si="13"/>
        <v>0</v>
      </c>
      <c r="AC9" s="65"/>
      <c r="AD9" s="74">
        <v>0.85</v>
      </c>
      <c r="AE9" s="75">
        <f t="shared" si="4"/>
        <v>0</v>
      </c>
      <c r="AF9" s="75">
        <f t="shared" si="5"/>
        <v>0</v>
      </c>
    </row>
    <row r="10" spans="1:32">
      <c r="D10" s="66"/>
      <c r="N10" s="67">
        <v>1</v>
      </c>
      <c r="P10" s="70">
        <v>1</v>
      </c>
      <c r="Q10" s="69">
        <f t="shared" ref="Q10" si="18">ROUND(SUM(O10*P10),2)</f>
        <v>0</v>
      </c>
      <c r="R10" s="69">
        <f t="shared" ref="R10" si="19">SUM(O10-Q10)</f>
        <v>0</v>
      </c>
      <c r="S10" s="70">
        <v>0.96099999999999997</v>
      </c>
      <c r="T10" s="69">
        <f t="shared" si="16"/>
        <v>0</v>
      </c>
      <c r="U10" s="71">
        <f t="shared" si="17"/>
        <v>0</v>
      </c>
      <c r="V10" s="72">
        <v>1</v>
      </c>
      <c r="W10" s="71">
        <f t="shared" si="10"/>
        <v>0</v>
      </c>
      <c r="X10" s="71">
        <f t="shared" si="11"/>
        <v>0</v>
      </c>
      <c r="Y10" s="69">
        <f t="shared" si="12"/>
        <v>0</v>
      </c>
      <c r="Z10" s="73">
        <f t="shared" si="13"/>
        <v>0</v>
      </c>
      <c r="AC10" s="65"/>
      <c r="AD10" s="74">
        <v>0.85</v>
      </c>
      <c r="AE10" s="75">
        <f t="shared" ref="AE10" si="20">SUM(Y10*AD10)</f>
        <v>0</v>
      </c>
      <c r="AF10" s="75">
        <f t="shared" ref="AF10" si="21">SUM(O10-AE10)</f>
        <v>0</v>
      </c>
    </row>
    <row r="11" spans="1:32">
      <c r="D11" s="66"/>
      <c r="N11" s="67">
        <v>1</v>
      </c>
      <c r="P11" s="70">
        <v>1</v>
      </c>
      <c r="Q11" s="69">
        <f t="shared" ref="Q11:Q13" si="22">ROUND(SUM(O11*P11),2)</f>
        <v>0</v>
      </c>
      <c r="R11" s="69">
        <f t="shared" ref="R11:R13" si="23">SUM(O11-Q11)</f>
        <v>0</v>
      </c>
      <c r="S11" s="70">
        <v>0.96099999999999997</v>
      </c>
      <c r="T11" s="69">
        <f t="shared" ref="T11:T13" si="24">ROUND(SUM(Q11*S11),2)</f>
        <v>0</v>
      </c>
      <c r="U11" s="71">
        <f t="shared" ref="U11:U13" si="25">SUM(Q11-T11)</f>
        <v>0</v>
      </c>
      <c r="V11" s="72">
        <v>1</v>
      </c>
      <c r="W11" s="71">
        <f t="shared" ref="W11:W13" si="26">ROUND(SUM(T11*V11),2)</f>
        <v>0</v>
      </c>
      <c r="X11" s="71">
        <f t="shared" ref="X11:X13" si="27">SUM(T11-W11)</f>
        <v>0</v>
      </c>
      <c r="Y11" s="69">
        <f t="shared" ref="Y11:Y13" si="28">W11</f>
        <v>0</v>
      </c>
      <c r="Z11" s="73">
        <f t="shared" ref="Z11:Z13" si="29">SUM(O11-Y11)</f>
        <v>0</v>
      </c>
      <c r="AC11" s="65"/>
      <c r="AD11" s="74">
        <v>0.85</v>
      </c>
      <c r="AE11" s="75">
        <f t="shared" ref="AE11:AE13" si="30">SUM(Y11*AD11)</f>
        <v>0</v>
      </c>
      <c r="AF11" s="75">
        <f t="shared" ref="AF11:AF13" si="31">SUM(O11-AE11)</f>
        <v>0</v>
      </c>
    </row>
    <row r="12" spans="1:32">
      <c r="D12" s="66"/>
      <c r="N12" s="67">
        <v>1</v>
      </c>
      <c r="P12" s="70">
        <v>1</v>
      </c>
      <c r="Q12" s="69">
        <f t="shared" si="22"/>
        <v>0</v>
      </c>
      <c r="R12" s="69">
        <f t="shared" si="23"/>
        <v>0</v>
      </c>
      <c r="S12" s="70">
        <v>0.96099999999999997</v>
      </c>
      <c r="T12" s="69">
        <f t="shared" si="24"/>
        <v>0</v>
      </c>
      <c r="U12" s="71">
        <f t="shared" si="25"/>
        <v>0</v>
      </c>
      <c r="V12" s="72">
        <v>1</v>
      </c>
      <c r="W12" s="71">
        <f t="shared" si="26"/>
        <v>0</v>
      </c>
      <c r="X12" s="71">
        <f t="shared" si="27"/>
        <v>0</v>
      </c>
      <c r="Y12" s="69">
        <f t="shared" si="28"/>
        <v>0</v>
      </c>
      <c r="Z12" s="73">
        <f t="shared" si="29"/>
        <v>0</v>
      </c>
      <c r="AC12" s="65"/>
      <c r="AD12" s="74">
        <v>0.85</v>
      </c>
      <c r="AE12" s="75">
        <f t="shared" si="30"/>
        <v>0</v>
      </c>
      <c r="AF12" s="75">
        <f t="shared" si="31"/>
        <v>0</v>
      </c>
    </row>
    <row r="13" spans="1:32">
      <c r="D13" s="66"/>
      <c r="N13" s="67">
        <v>1</v>
      </c>
      <c r="P13" s="70">
        <v>1</v>
      </c>
      <c r="Q13" s="69">
        <f t="shared" si="22"/>
        <v>0</v>
      </c>
      <c r="R13" s="69">
        <f t="shared" si="23"/>
        <v>0</v>
      </c>
      <c r="S13" s="70">
        <v>0.96099999999999997</v>
      </c>
      <c r="T13" s="69">
        <f t="shared" si="24"/>
        <v>0</v>
      </c>
      <c r="U13" s="71">
        <f t="shared" si="25"/>
        <v>0</v>
      </c>
      <c r="V13" s="72">
        <v>1</v>
      </c>
      <c r="W13" s="71">
        <f t="shared" si="26"/>
        <v>0</v>
      </c>
      <c r="X13" s="71">
        <f t="shared" si="27"/>
        <v>0</v>
      </c>
      <c r="Y13" s="69">
        <f t="shared" si="28"/>
        <v>0</v>
      </c>
      <c r="Z13" s="73">
        <f t="shared" si="29"/>
        <v>0</v>
      </c>
      <c r="AC13" s="65"/>
      <c r="AD13" s="74">
        <v>0.85</v>
      </c>
      <c r="AE13" s="75">
        <f t="shared" si="30"/>
        <v>0</v>
      </c>
      <c r="AF13" s="75">
        <f t="shared" si="31"/>
        <v>0</v>
      </c>
    </row>
    <row r="14" spans="1:32">
      <c r="D14" s="66"/>
      <c r="N14" s="67">
        <v>1</v>
      </c>
      <c r="P14" s="70">
        <v>1</v>
      </c>
      <c r="Q14" s="69">
        <f>ROUND(SUM(O14*P14),2)</f>
        <v>0</v>
      </c>
      <c r="R14" s="69">
        <f>SUM(O14-Q14)</f>
        <v>0</v>
      </c>
      <c r="S14" s="70">
        <v>0.96099999999999997</v>
      </c>
      <c r="T14" s="69">
        <f>ROUND(SUM(Q14*S14),2)</f>
        <v>0</v>
      </c>
      <c r="U14" s="71">
        <f>SUM(Q14-T14)</f>
        <v>0</v>
      </c>
      <c r="V14" s="72">
        <v>1</v>
      </c>
      <c r="W14" s="71">
        <f t="shared" ref="W14" si="32">ROUND(SUM(T14*V14),2)</f>
        <v>0</v>
      </c>
      <c r="X14" s="71">
        <f t="shared" ref="X14" si="33">SUM(T14-W14)</f>
        <v>0</v>
      </c>
      <c r="Y14" s="69">
        <f t="shared" ref="Y14" si="34">W14</f>
        <v>0</v>
      </c>
      <c r="Z14" s="73">
        <f t="shared" ref="Z14" si="35">SUM(O14-Y14)</f>
        <v>0</v>
      </c>
      <c r="AC14" s="65"/>
      <c r="AD14" s="74">
        <v>0.85</v>
      </c>
      <c r="AE14" s="75">
        <f t="shared" ref="AE14:AE22" si="36">SUM(Y14*AD14)</f>
        <v>0</v>
      </c>
      <c r="AF14" s="75">
        <f t="shared" ref="AF14:AF22" si="37">SUM(O14-AE14)</f>
        <v>0</v>
      </c>
    </row>
    <row r="15" spans="1:32">
      <c r="D15" s="66"/>
      <c r="N15" s="67">
        <v>1</v>
      </c>
      <c r="P15" s="70">
        <v>1</v>
      </c>
      <c r="Q15" s="69">
        <f t="shared" ref="Q15:Q17" si="38">ROUND(SUM(O15*P15),2)</f>
        <v>0</v>
      </c>
      <c r="R15" s="69">
        <f t="shared" ref="R15:R17" si="39">SUM(O15-Q15)</f>
        <v>0</v>
      </c>
      <c r="S15" s="70">
        <v>0.96099999999999997</v>
      </c>
      <c r="T15" s="69">
        <f t="shared" ref="T15:T17" si="40">ROUND(SUM(Q15*S15),2)</f>
        <v>0</v>
      </c>
      <c r="U15" s="71">
        <f t="shared" ref="U15:U17" si="41">SUM(Q15-T15)</f>
        <v>0</v>
      </c>
      <c r="V15" s="72">
        <v>1</v>
      </c>
      <c r="W15" s="71">
        <f t="shared" ref="W15:W18" si="42">ROUND(SUM(T15*V15),2)</f>
        <v>0</v>
      </c>
      <c r="X15" s="71">
        <f t="shared" ref="X15:X18" si="43">SUM(T15-W15)</f>
        <v>0</v>
      </c>
      <c r="Y15" s="69">
        <f t="shared" ref="Y15:Y18" si="44">W15</f>
        <v>0</v>
      </c>
      <c r="Z15" s="73">
        <f t="shared" ref="Z15:Z18" si="45">SUM(O15-Y15)</f>
        <v>0</v>
      </c>
      <c r="AC15" s="65"/>
      <c r="AD15" s="74">
        <v>0.85</v>
      </c>
      <c r="AE15" s="75">
        <f t="shared" si="36"/>
        <v>0</v>
      </c>
      <c r="AF15" s="75">
        <f t="shared" si="37"/>
        <v>0</v>
      </c>
    </row>
    <row r="16" spans="1:32">
      <c r="D16" s="66"/>
      <c r="N16" s="67">
        <v>1</v>
      </c>
      <c r="P16" s="70">
        <v>1</v>
      </c>
      <c r="Q16" s="69">
        <f t="shared" si="38"/>
        <v>0</v>
      </c>
      <c r="R16" s="69">
        <f t="shared" si="39"/>
        <v>0</v>
      </c>
      <c r="S16" s="70">
        <v>0.96099999999999997</v>
      </c>
      <c r="T16" s="69">
        <f t="shared" si="40"/>
        <v>0</v>
      </c>
      <c r="U16" s="71">
        <f t="shared" si="41"/>
        <v>0</v>
      </c>
      <c r="V16" s="72">
        <v>1</v>
      </c>
      <c r="W16" s="71">
        <f t="shared" si="42"/>
        <v>0</v>
      </c>
      <c r="X16" s="71">
        <f t="shared" si="43"/>
        <v>0</v>
      </c>
      <c r="Y16" s="69">
        <f t="shared" si="44"/>
        <v>0</v>
      </c>
      <c r="Z16" s="73">
        <f t="shared" si="45"/>
        <v>0</v>
      </c>
      <c r="AC16" s="65"/>
      <c r="AD16" s="74">
        <v>0.85</v>
      </c>
      <c r="AE16" s="75">
        <f t="shared" si="36"/>
        <v>0</v>
      </c>
      <c r="AF16" s="75">
        <f t="shared" si="37"/>
        <v>0</v>
      </c>
    </row>
    <row r="17" spans="4:32">
      <c r="D17" s="66"/>
      <c r="N17" s="67">
        <v>1</v>
      </c>
      <c r="P17" s="70">
        <v>1</v>
      </c>
      <c r="Q17" s="69">
        <f t="shared" si="38"/>
        <v>0</v>
      </c>
      <c r="R17" s="69">
        <f t="shared" si="39"/>
        <v>0</v>
      </c>
      <c r="S17" s="70">
        <v>0.96099999999999997</v>
      </c>
      <c r="T17" s="69">
        <f t="shared" si="40"/>
        <v>0</v>
      </c>
      <c r="U17" s="71">
        <f t="shared" si="41"/>
        <v>0</v>
      </c>
      <c r="V17" s="72">
        <v>1</v>
      </c>
      <c r="W17" s="71">
        <f t="shared" si="42"/>
        <v>0</v>
      </c>
      <c r="X17" s="71">
        <f t="shared" si="43"/>
        <v>0</v>
      </c>
      <c r="Y17" s="69">
        <f t="shared" si="44"/>
        <v>0</v>
      </c>
      <c r="Z17" s="73">
        <f t="shared" si="45"/>
        <v>0</v>
      </c>
      <c r="AC17" s="65"/>
      <c r="AD17" s="74">
        <v>0.85</v>
      </c>
      <c r="AE17" s="75">
        <f t="shared" si="36"/>
        <v>0</v>
      </c>
      <c r="AF17" s="75">
        <f t="shared" si="37"/>
        <v>0</v>
      </c>
    </row>
    <row r="18" spans="4:32">
      <c r="D18" s="66"/>
      <c r="N18" s="67">
        <v>1</v>
      </c>
      <c r="P18" s="70">
        <v>1</v>
      </c>
      <c r="Q18" s="69">
        <f t="shared" ref="Q18:Q26" si="46">ROUND(SUM(O18*P18),2)</f>
        <v>0</v>
      </c>
      <c r="R18" s="69">
        <f t="shared" ref="R18:R26" si="47">SUM(O18-Q18)</f>
        <v>0</v>
      </c>
      <c r="S18" s="70">
        <v>0.96099999999999997</v>
      </c>
      <c r="T18" s="69">
        <f t="shared" ref="T18:T26" si="48">ROUND(SUM(Q18*S18),2)</f>
        <v>0</v>
      </c>
      <c r="U18" s="71">
        <f t="shared" ref="U18:U26" si="49">SUM(Q18-T18)</f>
        <v>0</v>
      </c>
      <c r="V18" s="72">
        <v>1</v>
      </c>
      <c r="W18" s="71">
        <f t="shared" si="42"/>
        <v>0</v>
      </c>
      <c r="X18" s="71">
        <f t="shared" si="43"/>
        <v>0</v>
      </c>
      <c r="Y18" s="69">
        <f t="shared" si="44"/>
        <v>0</v>
      </c>
      <c r="Z18" s="73">
        <f t="shared" si="45"/>
        <v>0</v>
      </c>
      <c r="AC18" s="65"/>
      <c r="AD18" s="74">
        <v>0.85</v>
      </c>
      <c r="AE18" s="75">
        <f t="shared" si="36"/>
        <v>0</v>
      </c>
      <c r="AF18" s="75">
        <f t="shared" si="37"/>
        <v>0</v>
      </c>
    </row>
    <row r="19" spans="4:32">
      <c r="D19" s="66"/>
      <c r="N19" s="67">
        <v>1</v>
      </c>
      <c r="P19" s="70">
        <v>1</v>
      </c>
      <c r="Q19" s="69">
        <f t="shared" si="46"/>
        <v>0</v>
      </c>
      <c r="R19" s="69">
        <f t="shared" si="47"/>
        <v>0</v>
      </c>
      <c r="S19" s="70">
        <v>0.96099999999999997</v>
      </c>
      <c r="T19" s="69">
        <f t="shared" si="48"/>
        <v>0</v>
      </c>
      <c r="U19" s="71">
        <f t="shared" si="49"/>
        <v>0</v>
      </c>
      <c r="V19" s="72">
        <v>1</v>
      </c>
      <c r="W19" s="71">
        <f t="shared" ref="W19:W21" si="50">ROUND(SUM(T19*V19),2)</f>
        <v>0</v>
      </c>
      <c r="X19" s="71">
        <f t="shared" ref="X19:X21" si="51">SUM(T19-W19)</f>
        <v>0</v>
      </c>
      <c r="Y19" s="69">
        <f t="shared" ref="Y19:Y21" si="52">W19</f>
        <v>0</v>
      </c>
      <c r="Z19" s="73">
        <f t="shared" ref="Z19:Z21" si="53">SUM(O19-Y19)</f>
        <v>0</v>
      </c>
      <c r="AC19" s="65"/>
      <c r="AD19" s="74">
        <v>0.85</v>
      </c>
      <c r="AE19" s="75">
        <f t="shared" si="36"/>
        <v>0</v>
      </c>
      <c r="AF19" s="75">
        <f t="shared" si="37"/>
        <v>0</v>
      </c>
    </row>
    <row r="20" spans="4:32">
      <c r="D20" s="66"/>
      <c r="N20" s="67">
        <v>1</v>
      </c>
      <c r="P20" s="70">
        <v>1</v>
      </c>
      <c r="Q20" s="69">
        <f t="shared" si="46"/>
        <v>0</v>
      </c>
      <c r="R20" s="69">
        <f t="shared" si="47"/>
        <v>0</v>
      </c>
      <c r="S20" s="70">
        <v>0.96099999999999997</v>
      </c>
      <c r="T20" s="69">
        <f t="shared" si="48"/>
        <v>0</v>
      </c>
      <c r="U20" s="71">
        <f t="shared" si="49"/>
        <v>0</v>
      </c>
      <c r="V20" s="72">
        <v>1</v>
      </c>
      <c r="W20" s="71">
        <f t="shared" si="50"/>
        <v>0</v>
      </c>
      <c r="X20" s="71">
        <f t="shared" si="51"/>
        <v>0</v>
      </c>
      <c r="Y20" s="69">
        <f t="shared" si="52"/>
        <v>0</v>
      </c>
      <c r="Z20" s="73">
        <f t="shared" si="53"/>
        <v>0</v>
      </c>
      <c r="AC20" s="65"/>
      <c r="AD20" s="74">
        <v>0.85</v>
      </c>
      <c r="AE20" s="75">
        <f t="shared" si="36"/>
        <v>0</v>
      </c>
      <c r="AF20" s="75">
        <f t="shared" si="37"/>
        <v>0</v>
      </c>
    </row>
    <row r="21" spans="4:32">
      <c r="D21" s="66"/>
      <c r="N21" s="67">
        <v>1</v>
      </c>
      <c r="P21" s="70">
        <v>1</v>
      </c>
      <c r="Q21" s="69">
        <f t="shared" si="46"/>
        <v>0</v>
      </c>
      <c r="R21" s="69">
        <f t="shared" si="47"/>
        <v>0</v>
      </c>
      <c r="S21" s="70">
        <v>0.96099999999999997</v>
      </c>
      <c r="T21" s="69">
        <f t="shared" si="48"/>
        <v>0</v>
      </c>
      <c r="U21" s="71">
        <f t="shared" si="49"/>
        <v>0</v>
      </c>
      <c r="V21" s="72">
        <v>1</v>
      </c>
      <c r="W21" s="71">
        <f t="shared" si="50"/>
        <v>0</v>
      </c>
      <c r="X21" s="71">
        <f t="shared" si="51"/>
        <v>0</v>
      </c>
      <c r="Y21" s="69">
        <f t="shared" si="52"/>
        <v>0</v>
      </c>
      <c r="Z21" s="73">
        <f t="shared" si="53"/>
        <v>0</v>
      </c>
      <c r="AC21" s="65"/>
      <c r="AD21" s="74">
        <v>0.85</v>
      </c>
      <c r="AE21" s="75">
        <f t="shared" si="36"/>
        <v>0</v>
      </c>
      <c r="AF21" s="75">
        <f t="shared" si="37"/>
        <v>0</v>
      </c>
    </row>
    <row r="22" spans="4:32">
      <c r="D22" s="66"/>
      <c r="G22" s="77"/>
      <c r="N22" s="67">
        <v>1</v>
      </c>
      <c r="P22" s="70">
        <v>1</v>
      </c>
      <c r="Q22" s="69">
        <f t="shared" si="46"/>
        <v>0</v>
      </c>
      <c r="R22" s="69">
        <f t="shared" si="47"/>
        <v>0</v>
      </c>
      <c r="S22" s="70">
        <v>0.96099999999999997</v>
      </c>
      <c r="T22" s="69">
        <f t="shared" si="48"/>
        <v>0</v>
      </c>
      <c r="U22" s="71">
        <f t="shared" si="49"/>
        <v>0</v>
      </c>
      <c r="V22" s="72">
        <v>1</v>
      </c>
      <c r="W22" s="71">
        <f t="shared" ref="W22" si="54">ROUND(SUM(T22*V22),2)</f>
        <v>0</v>
      </c>
      <c r="X22" s="71">
        <f t="shared" ref="X22" si="55">SUM(T22-W22)</f>
        <v>0</v>
      </c>
      <c r="Y22" s="69">
        <f t="shared" ref="Y22" si="56">W22</f>
        <v>0</v>
      </c>
      <c r="Z22" s="73">
        <f t="shared" ref="Z22" si="57">SUM(O22-Y22)</f>
        <v>0</v>
      </c>
      <c r="AC22" s="65"/>
      <c r="AD22" s="74">
        <v>0.85</v>
      </c>
      <c r="AE22" s="75">
        <f t="shared" si="36"/>
        <v>0</v>
      </c>
      <c r="AF22" s="75">
        <f t="shared" si="37"/>
        <v>0</v>
      </c>
    </row>
    <row r="23" spans="4:32">
      <c r="D23" s="66"/>
      <c r="N23" s="67">
        <v>1</v>
      </c>
      <c r="P23" s="70">
        <v>1</v>
      </c>
      <c r="Q23" s="69">
        <f t="shared" si="46"/>
        <v>0</v>
      </c>
      <c r="R23" s="69">
        <f t="shared" si="47"/>
        <v>0</v>
      </c>
      <c r="S23" s="70">
        <v>0.96099999999999997</v>
      </c>
      <c r="T23" s="69">
        <f t="shared" si="48"/>
        <v>0</v>
      </c>
      <c r="U23" s="71">
        <f t="shared" si="49"/>
        <v>0</v>
      </c>
      <c r="V23" s="72">
        <v>1</v>
      </c>
      <c r="W23" s="71">
        <f t="shared" ref="W23:W35" si="58">ROUND(SUM(T23*V23),2)</f>
        <v>0</v>
      </c>
      <c r="X23" s="71">
        <f t="shared" ref="X23:X35" si="59">SUM(T23-W23)</f>
        <v>0</v>
      </c>
      <c r="Y23" s="69">
        <f t="shared" ref="Y23:Y35" si="60">W23</f>
        <v>0</v>
      </c>
      <c r="Z23" s="73">
        <f t="shared" ref="Z23:Z35" si="61">SUM(O23-Y23)</f>
        <v>0</v>
      </c>
      <c r="AC23" s="65"/>
      <c r="AD23" s="74">
        <v>0.8</v>
      </c>
      <c r="AE23" s="75">
        <f>SUM(Y23*AD23)</f>
        <v>0</v>
      </c>
      <c r="AF23" s="75">
        <f>SUM(O23-AE23)</f>
        <v>0</v>
      </c>
    </row>
    <row r="24" spans="4:32">
      <c r="D24" s="66"/>
      <c r="N24" s="67">
        <v>1</v>
      </c>
      <c r="P24" s="70">
        <v>1</v>
      </c>
      <c r="Q24" s="69">
        <f t="shared" si="46"/>
        <v>0</v>
      </c>
      <c r="R24" s="69">
        <f t="shared" si="47"/>
        <v>0</v>
      </c>
      <c r="S24" s="70">
        <v>0.96099999999999997</v>
      </c>
      <c r="T24" s="69">
        <f t="shared" si="48"/>
        <v>0</v>
      </c>
      <c r="U24" s="71">
        <f t="shared" si="49"/>
        <v>0</v>
      </c>
      <c r="V24" s="72">
        <v>1</v>
      </c>
      <c r="W24" s="71">
        <f t="shared" ref="W24:W26" si="62">ROUND(SUM(T24*V24),2)</f>
        <v>0</v>
      </c>
      <c r="X24" s="71">
        <f t="shared" ref="X24:X26" si="63">SUM(T24-W24)</f>
        <v>0</v>
      </c>
      <c r="Y24" s="69">
        <f t="shared" ref="Y24:Y26" si="64">W24</f>
        <v>0</v>
      </c>
      <c r="Z24" s="73">
        <f t="shared" ref="Z24:Z26" si="65">SUM(O24-Y24)</f>
        <v>0</v>
      </c>
      <c r="AC24" s="65"/>
      <c r="AD24" s="74">
        <v>0.8</v>
      </c>
      <c r="AE24" s="75">
        <f>SUM(Y24*AD24)</f>
        <v>0</v>
      </c>
      <c r="AF24" s="75">
        <f>SUM(O24-AE24)</f>
        <v>0</v>
      </c>
    </row>
    <row r="25" spans="4:32">
      <c r="D25" s="66"/>
      <c r="N25" s="67">
        <v>1</v>
      </c>
      <c r="P25" s="70">
        <v>1</v>
      </c>
      <c r="Q25" s="69">
        <f t="shared" si="46"/>
        <v>0</v>
      </c>
      <c r="R25" s="69">
        <f t="shared" si="47"/>
        <v>0</v>
      </c>
      <c r="S25" s="70">
        <v>0.96099999999999997</v>
      </c>
      <c r="T25" s="69">
        <f t="shared" si="48"/>
        <v>0</v>
      </c>
      <c r="U25" s="71">
        <f t="shared" si="49"/>
        <v>0</v>
      </c>
      <c r="V25" s="72">
        <v>1</v>
      </c>
      <c r="W25" s="71">
        <f t="shared" si="62"/>
        <v>0</v>
      </c>
      <c r="X25" s="71">
        <f t="shared" si="63"/>
        <v>0</v>
      </c>
      <c r="Y25" s="69">
        <f t="shared" si="64"/>
        <v>0</v>
      </c>
      <c r="Z25" s="73">
        <f t="shared" si="65"/>
        <v>0</v>
      </c>
      <c r="AC25" s="65"/>
      <c r="AD25" s="74">
        <v>0.8</v>
      </c>
      <c r="AE25" s="75">
        <f>SUM(Y25*AD25)</f>
        <v>0</v>
      </c>
      <c r="AF25" s="75">
        <f>SUM(O25-AE25)</f>
        <v>0</v>
      </c>
    </row>
    <row r="26" spans="4:32">
      <c r="D26" s="66"/>
      <c r="N26" s="67">
        <v>1</v>
      </c>
      <c r="P26" s="70">
        <v>1</v>
      </c>
      <c r="Q26" s="69">
        <f t="shared" si="46"/>
        <v>0</v>
      </c>
      <c r="R26" s="69">
        <f t="shared" si="47"/>
        <v>0</v>
      </c>
      <c r="S26" s="70">
        <v>0.96099999999999997</v>
      </c>
      <c r="T26" s="69">
        <f t="shared" si="48"/>
        <v>0</v>
      </c>
      <c r="U26" s="71">
        <f t="shared" si="49"/>
        <v>0</v>
      </c>
      <c r="V26" s="72">
        <v>1</v>
      </c>
      <c r="W26" s="71">
        <f t="shared" si="62"/>
        <v>0</v>
      </c>
      <c r="X26" s="71">
        <f t="shared" si="63"/>
        <v>0</v>
      </c>
      <c r="Y26" s="69">
        <f t="shared" si="64"/>
        <v>0</v>
      </c>
      <c r="Z26" s="73">
        <f t="shared" si="65"/>
        <v>0</v>
      </c>
      <c r="AC26" s="65"/>
      <c r="AD26" s="74">
        <v>0.8</v>
      </c>
      <c r="AE26" s="75">
        <f>SUM(Y26*AD26)</f>
        <v>0</v>
      </c>
      <c r="AF26" s="75">
        <f>SUM(O26-AE26)</f>
        <v>0</v>
      </c>
    </row>
    <row r="27" spans="4:32">
      <c r="D27" s="66"/>
      <c r="N27" s="67">
        <v>1</v>
      </c>
      <c r="P27" s="70">
        <v>1</v>
      </c>
      <c r="Q27" s="69">
        <f t="shared" ref="Q27:Q30" si="66">ROUND(SUM(O27*P27),2)</f>
        <v>0</v>
      </c>
      <c r="R27" s="69">
        <f t="shared" ref="R27:R30" si="67">SUM(O27-Q27)</f>
        <v>0</v>
      </c>
      <c r="S27" s="70">
        <v>0.96099999999999997</v>
      </c>
      <c r="T27" s="69">
        <f t="shared" ref="T27:T31" si="68">ROUND(SUM(Q27*S27),2)</f>
        <v>0</v>
      </c>
      <c r="U27" s="71">
        <f t="shared" ref="U27:U31" si="69">SUM(Q27-T27)</f>
        <v>0</v>
      </c>
      <c r="V27" s="72">
        <v>1</v>
      </c>
      <c r="W27" s="71">
        <f t="shared" ref="W27:W31" si="70">ROUND(SUM(T27*V27),2)</f>
        <v>0</v>
      </c>
      <c r="X27" s="71">
        <f t="shared" ref="X27:X31" si="71">SUM(T27-W27)</f>
        <v>0</v>
      </c>
      <c r="Y27" s="69">
        <f t="shared" ref="Y27:Y31" si="72">W27</f>
        <v>0</v>
      </c>
      <c r="Z27" s="73">
        <f t="shared" ref="Z27:Z31" si="73">SUM(O27-Y27)</f>
        <v>0</v>
      </c>
      <c r="AC27" s="65"/>
      <c r="AD27" s="74">
        <v>0.8</v>
      </c>
      <c r="AE27" s="75">
        <f t="shared" ref="AE27:AE31" si="74">SUM(Y27*AD27)</f>
        <v>0</v>
      </c>
      <c r="AF27" s="75">
        <f t="shared" ref="AF27:AF31" si="75">SUM(O27-AE27)</f>
        <v>0</v>
      </c>
    </row>
    <row r="28" spans="4:32">
      <c r="D28" s="66"/>
      <c r="N28" s="67">
        <v>1</v>
      </c>
      <c r="P28" s="70">
        <v>1</v>
      </c>
      <c r="Q28" s="69">
        <f t="shared" si="66"/>
        <v>0</v>
      </c>
      <c r="R28" s="69">
        <f t="shared" si="67"/>
        <v>0</v>
      </c>
      <c r="S28" s="70">
        <v>0.96099999999999997</v>
      </c>
      <c r="T28" s="69">
        <f t="shared" si="68"/>
        <v>0</v>
      </c>
      <c r="U28" s="71">
        <f t="shared" si="69"/>
        <v>0</v>
      </c>
      <c r="V28" s="72">
        <v>1</v>
      </c>
      <c r="W28" s="71">
        <f t="shared" si="70"/>
        <v>0</v>
      </c>
      <c r="X28" s="71">
        <f t="shared" si="71"/>
        <v>0</v>
      </c>
      <c r="Y28" s="69">
        <f t="shared" si="72"/>
        <v>0</v>
      </c>
      <c r="Z28" s="73">
        <f t="shared" si="73"/>
        <v>0</v>
      </c>
      <c r="AC28" s="65"/>
      <c r="AD28" s="74">
        <v>0.8</v>
      </c>
      <c r="AE28" s="75">
        <f t="shared" si="74"/>
        <v>0</v>
      </c>
      <c r="AF28" s="75">
        <f t="shared" si="75"/>
        <v>0</v>
      </c>
    </row>
    <row r="29" spans="4:32">
      <c r="D29" s="66"/>
      <c r="N29" s="67">
        <v>1</v>
      </c>
      <c r="P29" s="70">
        <v>1</v>
      </c>
      <c r="Q29" s="69">
        <f t="shared" si="66"/>
        <v>0</v>
      </c>
      <c r="R29" s="69">
        <f t="shared" si="67"/>
        <v>0</v>
      </c>
      <c r="S29" s="70">
        <v>0.96099999999999997</v>
      </c>
      <c r="T29" s="69">
        <f t="shared" si="68"/>
        <v>0</v>
      </c>
      <c r="U29" s="71">
        <f t="shared" si="69"/>
        <v>0</v>
      </c>
      <c r="V29" s="72">
        <v>1</v>
      </c>
      <c r="W29" s="71">
        <f t="shared" si="70"/>
        <v>0</v>
      </c>
      <c r="X29" s="71">
        <f t="shared" si="71"/>
        <v>0</v>
      </c>
      <c r="Y29" s="69">
        <f t="shared" si="72"/>
        <v>0</v>
      </c>
      <c r="Z29" s="73">
        <f t="shared" si="73"/>
        <v>0</v>
      </c>
      <c r="AC29" s="65"/>
      <c r="AD29" s="74">
        <v>0.8</v>
      </c>
      <c r="AE29" s="75">
        <f t="shared" si="74"/>
        <v>0</v>
      </c>
      <c r="AF29" s="75">
        <f t="shared" si="75"/>
        <v>0</v>
      </c>
    </row>
    <row r="30" spans="4:32">
      <c r="D30" s="66"/>
      <c r="N30" s="67">
        <v>1</v>
      </c>
      <c r="P30" s="70">
        <v>1</v>
      </c>
      <c r="Q30" s="69">
        <f t="shared" si="66"/>
        <v>0</v>
      </c>
      <c r="R30" s="69">
        <f t="shared" si="67"/>
        <v>0</v>
      </c>
      <c r="S30" s="70">
        <v>0.96099999999999997</v>
      </c>
      <c r="T30" s="69">
        <f t="shared" si="68"/>
        <v>0</v>
      </c>
      <c r="U30" s="71">
        <f t="shared" si="69"/>
        <v>0</v>
      </c>
      <c r="V30" s="72">
        <v>1</v>
      </c>
      <c r="W30" s="71">
        <f t="shared" si="70"/>
        <v>0</v>
      </c>
      <c r="X30" s="71">
        <f t="shared" si="71"/>
        <v>0</v>
      </c>
      <c r="Y30" s="69">
        <f t="shared" si="72"/>
        <v>0</v>
      </c>
      <c r="Z30" s="73">
        <f t="shared" si="73"/>
        <v>0</v>
      </c>
      <c r="AC30" s="65"/>
      <c r="AD30" s="74">
        <v>0.8</v>
      </c>
      <c r="AE30" s="75">
        <f t="shared" si="74"/>
        <v>0</v>
      </c>
      <c r="AF30" s="75">
        <f t="shared" si="75"/>
        <v>0</v>
      </c>
    </row>
    <row r="31" spans="4:32">
      <c r="D31" s="66"/>
      <c r="G31" s="77"/>
      <c r="N31" s="67">
        <v>1</v>
      </c>
      <c r="P31" s="70">
        <v>1</v>
      </c>
      <c r="Q31" s="69">
        <f t="shared" ref="Q31" si="76">ROUND(SUM(O31*P31),2)</f>
        <v>0</v>
      </c>
      <c r="R31" s="69">
        <f t="shared" ref="R31" si="77">SUM(O31-Q31)</f>
        <v>0</v>
      </c>
      <c r="S31" s="70">
        <v>0.96099999999999997</v>
      </c>
      <c r="T31" s="69">
        <f t="shared" si="68"/>
        <v>0</v>
      </c>
      <c r="U31" s="71">
        <f t="shared" si="69"/>
        <v>0</v>
      </c>
      <c r="V31" s="72">
        <v>1</v>
      </c>
      <c r="W31" s="71">
        <f t="shared" si="70"/>
        <v>0</v>
      </c>
      <c r="X31" s="71">
        <f t="shared" si="71"/>
        <v>0</v>
      </c>
      <c r="Y31" s="69">
        <f t="shared" si="72"/>
        <v>0</v>
      </c>
      <c r="Z31" s="73">
        <f t="shared" si="73"/>
        <v>0</v>
      </c>
      <c r="AC31" s="65"/>
      <c r="AD31" s="74">
        <v>0.85</v>
      </c>
      <c r="AE31" s="75">
        <f t="shared" si="74"/>
        <v>0</v>
      </c>
      <c r="AF31" s="75">
        <f t="shared" si="75"/>
        <v>0</v>
      </c>
    </row>
    <row r="32" spans="4:32">
      <c r="D32" s="66"/>
      <c r="G32" s="77"/>
      <c r="N32" s="67">
        <v>1</v>
      </c>
      <c r="P32" s="70">
        <v>1</v>
      </c>
      <c r="Q32" s="69">
        <f t="shared" ref="Q32:Q35" si="78">ROUND(SUM(O32*P32),2)</f>
        <v>0</v>
      </c>
      <c r="R32" s="69">
        <f t="shared" ref="R32:R35" si="79">SUM(O32-Q32)</f>
        <v>0</v>
      </c>
      <c r="S32" s="70">
        <v>0.96099999999999997</v>
      </c>
      <c r="T32" s="69">
        <f t="shared" ref="T32:T35" si="80">ROUND(SUM(Q32*S32),2)</f>
        <v>0</v>
      </c>
      <c r="U32" s="71">
        <f t="shared" ref="U32:U35" si="81">SUM(Q32-T32)</f>
        <v>0</v>
      </c>
      <c r="V32" s="72">
        <v>1</v>
      </c>
      <c r="W32" s="71">
        <f t="shared" si="58"/>
        <v>0</v>
      </c>
      <c r="X32" s="71">
        <f t="shared" si="59"/>
        <v>0</v>
      </c>
      <c r="Y32" s="69">
        <f t="shared" si="60"/>
        <v>0</v>
      </c>
      <c r="Z32" s="73">
        <f t="shared" si="61"/>
        <v>0</v>
      </c>
      <c r="AC32" s="65"/>
      <c r="AD32" s="74">
        <v>0.85</v>
      </c>
      <c r="AE32" s="75">
        <f t="shared" ref="AE32:AE35" si="82">SUM(Y32*AD32)</f>
        <v>0</v>
      </c>
      <c r="AF32" s="75">
        <f t="shared" ref="AF32:AF35" si="83">SUM(O32-AE32)</f>
        <v>0</v>
      </c>
    </row>
    <row r="33" spans="4:32">
      <c r="D33" s="66"/>
      <c r="G33" s="77"/>
      <c r="N33" s="67">
        <v>1</v>
      </c>
      <c r="P33" s="70">
        <v>1</v>
      </c>
      <c r="Q33" s="69">
        <f t="shared" si="78"/>
        <v>0</v>
      </c>
      <c r="R33" s="69">
        <f t="shared" si="79"/>
        <v>0</v>
      </c>
      <c r="S33" s="70">
        <v>0.96099999999999997</v>
      </c>
      <c r="T33" s="69">
        <f t="shared" si="80"/>
        <v>0</v>
      </c>
      <c r="U33" s="71">
        <f t="shared" si="81"/>
        <v>0</v>
      </c>
      <c r="V33" s="72">
        <v>1</v>
      </c>
      <c r="W33" s="71">
        <f t="shared" si="58"/>
        <v>0</v>
      </c>
      <c r="X33" s="71">
        <f t="shared" si="59"/>
        <v>0</v>
      </c>
      <c r="Y33" s="69">
        <f t="shared" si="60"/>
        <v>0</v>
      </c>
      <c r="Z33" s="73">
        <f t="shared" si="61"/>
        <v>0</v>
      </c>
      <c r="AC33" s="65"/>
      <c r="AD33" s="74">
        <v>0.85</v>
      </c>
      <c r="AE33" s="75">
        <f t="shared" si="82"/>
        <v>0</v>
      </c>
      <c r="AF33" s="75">
        <f t="shared" si="83"/>
        <v>0</v>
      </c>
    </row>
    <row r="34" spans="4:32">
      <c r="D34" s="66"/>
      <c r="G34" s="77"/>
      <c r="N34" s="67">
        <v>1</v>
      </c>
      <c r="P34" s="70">
        <v>1</v>
      </c>
      <c r="Q34" s="69">
        <f t="shared" si="78"/>
        <v>0</v>
      </c>
      <c r="R34" s="69">
        <f t="shared" si="79"/>
        <v>0</v>
      </c>
      <c r="S34" s="70">
        <v>0.96099999999999997</v>
      </c>
      <c r="T34" s="69">
        <f t="shared" si="80"/>
        <v>0</v>
      </c>
      <c r="U34" s="71">
        <f t="shared" si="81"/>
        <v>0</v>
      </c>
      <c r="V34" s="72">
        <v>1</v>
      </c>
      <c r="W34" s="71">
        <f t="shared" si="58"/>
        <v>0</v>
      </c>
      <c r="X34" s="71">
        <f t="shared" si="59"/>
        <v>0</v>
      </c>
      <c r="Y34" s="69">
        <f t="shared" si="60"/>
        <v>0</v>
      </c>
      <c r="Z34" s="73">
        <f t="shared" si="61"/>
        <v>0</v>
      </c>
      <c r="AC34" s="65"/>
      <c r="AD34" s="74">
        <v>0.85</v>
      </c>
      <c r="AE34" s="75">
        <f t="shared" si="82"/>
        <v>0</v>
      </c>
      <c r="AF34" s="75">
        <f t="shared" si="83"/>
        <v>0</v>
      </c>
    </row>
    <row r="35" spans="4:32">
      <c r="D35" s="66"/>
      <c r="G35" s="77"/>
      <c r="N35" s="67">
        <v>1</v>
      </c>
      <c r="P35" s="70">
        <v>1</v>
      </c>
      <c r="Q35" s="69">
        <f t="shared" si="78"/>
        <v>0</v>
      </c>
      <c r="R35" s="69">
        <f t="shared" si="79"/>
        <v>0</v>
      </c>
      <c r="S35" s="70">
        <v>0.96099999999999997</v>
      </c>
      <c r="T35" s="69">
        <f t="shared" si="80"/>
        <v>0</v>
      </c>
      <c r="U35" s="71">
        <f t="shared" si="81"/>
        <v>0</v>
      </c>
      <c r="V35" s="72">
        <v>1</v>
      </c>
      <c r="W35" s="71">
        <f t="shared" si="58"/>
        <v>0</v>
      </c>
      <c r="X35" s="71">
        <f t="shared" si="59"/>
        <v>0</v>
      </c>
      <c r="Y35" s="69">
        <f t="shared" si="60"/>
        <v>0</v>
      </c>
      <c r="Z35" s="73">
        <f t="shared" si="61"/>
        <v>0</v>
      </c>
      <c r="AC35" s="65"/>
      <c r="AD35" s="74">
        <v>0.85</v>
      </c>
      <c r="AE35" s="75">
        <f t="shared" si="82"/>
        <v>0</v>
      </c>
      <c r="AF35" s="75">
        <f t="shared" si="83"/>
        <v>0</v>
      </c>
    </row>
    <row r="36" spans="4:32">
      <c r="D36" s="66"/>
      <c r="Q36" s="69"/>
      <c r="R36" s="69"/>
      <c r="Z36" s="73"/>
      <c r="AC36" s="67"/>
    </row>
    <row r="37" spans="4:32">
      <c r="L37" s="76"/>
      <c r="N37" s="67">
        <f>SUBTOTAL(9,N2:N35)</f>
        <v>34</v>
      </c>
      <c r="O37" s="69">
        <f>SUBTOTAL(9,O2:O35)</f>
        <v>0</v>
      </c>
      <c r="Q37" s="69">
        <f>SUBTOTAL(9,Q2:Q35)</f>
        <v>0</v>
      </c>
      <c r="R37" s="69">
        <f>SUBTOTAL(9,R2:R35)</f>
        <v>0</v>
      </c>
      <c r="T37" s="69">
        <f>SUBTOTAL(9,T2:T35)</f>
        <v>0</v>
      </c>
      <c r="U37" s="69">
        <f>SUBTOTAL(9,U2:U35)</f>
        <v>0</v>
      </c>
      <c r="W37" s="69">
        <f>SUBTOTAL(9,W2:W35)</f>
        <v>0</v>
      </c>
      <c r="X37" s="69">
        <f>SUBTOTAL(9,X2:X35)</f>
        <v>0</v>
      </c>
      <c r="Y37" s="69">
        <f>SUBTOTAL(9,Y2:Y35)</f>
        <v>0</v>
      </c>
      <c r="Z37" s="69">
        <f>SUBTOTAL(9,Z2:Z35)</f>
        <v>0</v>
      </c>
      <c r="AE37" s="69">
        <f>SUBTOTAL(9,AE2:AE35)</f>
        <v>0</v>
      </c>
      <c r="AF37" s="69">
        <f>SUBTOTAL(9,AF2:AF35)</f>
        <v>0</v>
      </c>
    </row>
  </sheetData>
  <autoFilter ref="A1:AF35" xr:uid="{1997A4C5-BC8B-4E4F-8290-B21DC01AAFD3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EvalSummary</vt:lpstr>
      <vt:lpstr>pricingEval</vt:lpstr>
      <vt:lpstr>Proposal</vt:lpstr>
      <vt:lpstr>bizReq</vt:lpstr>
      <vt:lpstr>VendorEval</vt:lpstr>
      <vt:lpstr>lineSum</vt:lpstr>
      <vt:lpstr>lineItem</vt:lpstr>
      <vt:lpstr>pricingEval!Print_Area</vt:lpstr>
      <vt:lpstr>Proposal!Print_Area</vt:lpstr>
      <vt:lpstr>VendorEval!Print_Area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Langston, Renee</cp:lastModifiedBy>
  <cp:lastPrinted>2022-09-29T17:43:37Z</cp:lastPrinted>
  <dcterms:created xsi:type="dcterms:W3CDTF">2017-09-29T16:00:11Z</dcterms:created>
  <dcterms:modified xsi:type="dcterms:W3CDTF">2026-03-24T12:25:30Z</dcterms:modified>
</cp:coreProperties>
</file>