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FIN\Downloads\"/>
    </mc:Choice>
  </mc:AlternateContent>
  <bookViews>
    <workbookView xWindow="0" yWindow="0" windowWidth="25125" windowHeight="11700"/>
  </bookViews>
  <sheets>
    <sheet name="ParaPro" sheetId="2" r:id="rId1"/>
    <sheet name="School Secretary" sheetId="3" r:id="rId2"/>
    <sheet name="Custodian" sheetId="4" r:id="rId3"/>
    <sheet name="Mechanics" sheetId="5" r:id="rId4"/>
    <sheet name="Maintenance" sheetId="6" r:id="rId5"/>
    <sheet name="Nurses" sheetId="7" r:id="rId6"/>
    <sheet name="Supervisor of MaintTrans" sheetId="8" r:id="rId7"/>
    <sheet name="Technology Payscale " sheetId="9" r:id="rId8"/>
    <sheet name="Payroll ClerkBenefits &amp; Fin Mgr" sheetId="10" r:id="rId9"/>
  </sheets>
  <calcPr calcId="162913"/>
</workbook>
</file>

<file path=xl/calcChain.xml><?xml version="1.0" encoding="utf-8"?>
<calcChain xmlns="http://schemas.openxmlformats.org/spreadsheetml/2006/main">
  <c r="D34" i="10" l="1"/>
  <c r="D33" i="10"/>
  <c r="E26" i="10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D26" i="10"/>
  <c r="D20" i="10"/>
  <c r="E20" i="10" s="1"/>
  <c r="F20" i="10" s="1"/>
  <c r="G20" i="10" s="1"/>
  <c r="H20" i="10" s="1"/>
  <c r="I20" i="10" s="1"/>
  <c r="J20" i="10" s="1"/>
  <c r="K20" i="10" s="1"/>
  <c r="L20" i="10" s="1"/>
  <c r="M20" i="10" s="1"/>
  <c r="N20" i="10" s="1"/>
  <c r="O20" i="10" s="1"/>
  <c r="P20" i="10" s="1"/>
  <c r="Q20" i="10" s="1"/>
  <c r="R20" i="10" s="1"/>
  <c r="S20" i="10" s="1"/>
  <c r="D18" i="10"/>
  <c r="E18" i="10" s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D24" i="10" s="1"/>
  <c r="E24" i="10" s="1"/>
  <c r="F24" i="10" s="1"/>
  <c r="G24" i="10" s="1"/>
  <c r="H24" i="10" s="1"/>
  <c r="I24" i="10" s="1"/>
  <c r="J24" i="10" s="1"/>
  <c r="K24" i="10" s="1"/>
  <c r="L24" i="10" s="1"/>
  <c r="M24" i="10" s="1"/>
  <c r="N24" i="10" s="1"/>
  <c r="O24" i="10" s="1"/>
  <c r="P24" i="10" s="1"/>
  <c r="Q24" i="10" s="1"/>
  <c r="R24" i="10" s="1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R14" i="9"/>
  <c r="N14" i="9"/>
  <c r="J14" i="9"/>
  <c r="F14" i="9"/>
  <c r="R13" i="9"/>
  <c r="Q13" i="9"/>
  <c r="Q14" i="9" s="1"/>
  <c r="P13" i="9"/>
  <c r="P14" i="9" s="1"/>
  <c r="O13" i="9"/>
  <c r="O14" i="9" s="1"/>
  <c r="N13" i="9"/>
  <c r="M13" i="9"/>
  <c r="M14" i="9" s="1"/>
  <c r="L13" i="9"/>
  <c r="L14" i="9" s="1"/>
  <c r="K13" i="9"/>
  <c r="K14" i="9" s="1"/>
  <c r="J13" i="9"/>
  <c r="I13" i="9"/>
  <c r="I14" i="9" s="1"/>
  <c r="H13" i="9"/>
  <c r="H14" i="9" s="1"/>
  <c r="G13" i="9"/>
  <c r="G14" i="9" s="1"/>
  <c r="F13" i="9"/>
  <c r="E13" i="9"/>
  <c r="E14" i="9" s="1"/>
  <c r="D13" i="9"/>
  <c r="D14" i="9" s="1"/>
  <c r="S8" i="9"/>
  <c r="S9" i="9" s="1"/>
  <c r="R8" i="9"/>
  <c r="R9" i="9" s="1"/>
  <c r="Q8" i="9"/>
  <c r="Q9" i="9" s="1"/>
  <c r="P8" i="9"/>
  <c r="P9" i="9" s="1"/>
  <c r="O8" i="9"/>
  <c r="O9" i="9" s="1"/>
  <c r="N8" i="9"/>
  <c r="N9" i="9" s="1"/>
  <c r="M8" i="9"/>
  <c r="M9" i="9" s="1"/>
  <c r="L8" i="9"/>
  <c r="L9" i="9" s="1"/>
  <c r="K8" i="9"/>
  <c r="K9" i="9" s="1"/>
  <c r="J8" i="9"/>
  <c r="J9" i="9" s="1"/>
  <c r="I8" i="9"/>
  <c r="I9" i="9" s="1"/>
  <c r="H8" i="9"/>
  <c r="H9" i="9" s="1"/>
  <c r="G8" i="9"/>
  <c r="G9" i="9" s="1"/>
  <c r="F8" i="9"/>
  <c r="F9" i="9" s="1"/>
  <c r="E8" i="9"/>
  <c r="E9" i="9" s="1"/>
  <c r="D7" i="9"/>
  <c r="D8" i="9" s="1"/>
  <c r="D9" i="9" s="1"/>
  <c r="I14" i="8"/>
  <c r="P13" i="8"/>
  <c r="P14" i="8" s="1"/>
  <c r="L13" i="8"/>
  <c r="L14" i="8" s="1"/>
  <c r="H13" i="8"/>
  <c r="H14" i="8" s="1"/>
  <c r="D13" i="8"/>
  <c r="D14" i="8" s="1"/>
  <c r="R12" i="8"/>
  <c r="R13" i="8" s="1"/>
  <c r="R14" i="8" s="1"/>
  <c r="Q12" i="8"/>
  <c r="Q13" i="8" s="1"/>
  <c r="Q14" i="8" s="1"/>
  <c r="P12" i="8"/>
  <c r="O12" i="8"/>
  <c r="O13" i="8" s="1"/>
  <c r="O14" i="8" s="1"/>
  <c r="N12" i="8"/>
  <c r="N13" i="8" s="1"/>
  <c r="N14" i="8" s="1"/>
  <c r="M12" i="8"/>
  <c r="M13" i="8" s="1"/>
  <c r="M14" i="8" s="1"/>
  <c r="L12" i="8"/>
  <c r="K12" i="8"/>
  <c r="K13" i="8" s="1"/>
  <c r="K14" i="8" s="1"/>
  <c r="J12" i="8"/>
  <c r="J13" i="8" s="1"/>
  <c r="J14" i="8" s="1"/>
  <c r="I12" i="8"/>
  <c r="I13" i="8" s="1"/>
  <c r="H12" i="8"/>
  <c r="G12" i="8"/>
  <c r="G13" i="8" s="1"/>
  <c r="G14" i="8" s="1"/>
  <c r="F12" i="8"/>
  <c r="F13" i="8" s="1"/>
  <c r="F14" i="8" s="1"/>
  <c r="E12" i="8"/>
  <c r="E13" i="8" s="1"/>
  <c r="E14" i="8" s="1"/>
  <c r="D12" i="8"/>
  <c r="O8" i="8"/>
  <c r="O9" i="8" s="1"/>
  <c r="K8" i="8"/>
  <c r="K9" i="8" s="1"/>
  <c r="G8" i="8"/>
  <c r="G9" i="8" s="1"/>
  <c r="S7" i="8"/>
  <c r="S8" i="8" s="1"/>
  <c r="S9" i="8" s="1"/>
  <c r="R7" i="8"/>
  <c r="R8" i="8" s="1"/>
  <c r="R9" i="8" s="1"/>
  <c r="Q7" i="8"/>
  <c r="Q8" i="8" s="1"/>
  <c r="Q9" i="8" s="1"/>
  <c r="P7" i="8"/>
  <c r="P8" i="8" s="1"/>
  <c r="P9" i="8" s="1"/>
  <c r="O7" i="8"/>
  <c r="N7" i="8"/>
  <c r="N8" i="8" s="1"/>
  <c r="N9" i="8" s="1"/>
  <c r="M7" i="8"/>
  <c r="M8" i="8" s="1"/>
  <c r="M9" i="8" s="1"/>
  <c r="L7" i="8"/>
  <c r="L8" i="8" s="1"/>
  <c r="L9" i="8" s="1"/>
  <c r="K7" i="8"/>
  <c r="J7" i="8"/>
  <c r="J8" i="8" s="1"/>
  <c r="J9" i="8" s="1"/>
  <c r="I7" i="8"/>
  <c r="I8" i="8" s="1"/>
  <c r="I9" i="8" s="1"/>
  <c r="H7" i="8"/>
  <c r="H8" i="8" s="1"/>
  <c r="H9" i="8" s="1"/>
  <c r="G7" i="8"/>
  <c r="F7" i="8"/>
  <c r="F8" i="8" s="1"/>
  <c r="F9" i="8" s="1"/>
  <c r="E7" i="8"/>
  <c r="E8" i="8" s="1"/>
  <c r="E9" i="8" s="1"/>
  <c r="D7" i="8"/>
  <c r="D8" i="8" s="1"/>
  <c r="D9" i="8" s="1"/>
  <c r="E27" i="7"/>
  <c r="E28" i="7" s="1"/>
  <c r="H26" i="7"/>
  <c r="H27" i="7" s="1"/>
  <c r="H28" i="7" s="1"/>
  <c r="G26" i="7"/>
  <c r="G27" i="7" s="1"/>
  <c r="G28" i="7" s="1"/>
  <c r="F26" i="7"/>
  <c r="F27" i="7" s="1"/>
  <c r="F28" i="7" s="1"/>
  <c r="E26" i="7"/>
  <c r="D26" i="7"/>
  <c r="D27" i="7" s="1"/>
  <c r="D28" i="7" s="1"/>
  <c r="F23" i="7"/>
  <c r="F22" i="7"/>
  <c r="S21" i="7"/>
  <c r="S22" i="7" s="1"/>
  <c r="S23" i="7" s="1"/>
  <c r="R21" i="7"/>
  <c r="R22" i="7" s="1"/>
  <c r="R23" i="7" s="1"/>
  <c r="Q21" i="7"/>
  <c r="Q22" i="7" s="1"/>
  <c r="Q23" i="7" s="1"/>
  <c r="P21" i="7"/>
  <c r="P22" i="7" s="1"/>
  <c r="P23" i="7" s="1"/>
  <c r="O21" i="7"/>
  <c r="O22" i="7" s="1"/>
  <c r="O23" i="7" s="1"/>
  <c r="N21" i="7"/>
  <c r="N22" i="7" s="1"/>
  <c r="N23" i="7" s="1"/>
  <c r="M21" i="7"/>
  <c r="M22" i="7" s="1"/>
  <c r="M23" i="7" s="1"/>
  <c r="L21" i="7"/>
  <c r="L22" i="7" s="1"/>
  <c r="L23" i="7" s="1"/>
  <c r="K21" i="7"/>
  <c r="K22" i="7" s="1"/>
  <c r="K23" i="7" s="1"/>
  <c r="J21" i="7"/>
  <c r="J22" i="7" s="1"/>
  <c r="J23" i="7" s="1"/>
  <c r="I21" i="7"/>
  <c r="I22" i="7" s="1"/>
  <c r="I23" i="7" s="1"/>
  <c r="H21" i="7"/>
  <c r="H22" i="7" s="1"/>
  <c r="H23" i="7" s="1"/>
  <c r="G21" i="7"/>
  <c r="G22" i="7" s="1"/>
  <c r="G23" i="7" s="1"/>
  <c r="F21" i="7"/>
  <c r="E21" i="7"/>
  <c r="E22" i="7" s="1"/>
  <c r="E23" i="7" s="1"/>
  <c r="D21" i="7"/>
  <c r="D22" i="7" s="1"/>
  <c r="D23" i="7" s="1"/>
  <c r="E15" i="7"/>
  <c r="P14" i="7"/>
  <c r="P15" i="7" s="1"/>
  <c r="L14" i="7"/>
  <c r="L15" i="7" s="1"/>
  <c r="H14" i="7"/>
  <c r="H15" i="7" s="1"/>
  <c r="D14" i="7"/>
  <c r="D15" i="7" s="1"/>
  <c r="R13" i="7"/>
  <c r="R14" i="7" s="1"/>
  <c r="R15" i="7" s="1"/>
  <c r="Q13" i="7"/>
  <c r="Q14" i="7" s="1"/>
  <c r="Q15" i="7" s="1"/>
  <c r="P13" i="7"/>
  <c r="O13" i="7"/>
  <c r="O14" i="7" s="1"/>
  <c r="O15" i="7" s="1"/>
  <c r="N13" i="7"/>
  <c r="N14" i="7" s="1"/>
  <c r="N15" i="7" s="1"/>
  <c r="M13" i="7"/>
  <c r="M14" i="7" s="1"/>
  <c r="M15" i="7" s="1"/>
  <c r="L13" i="7"/>
  <c r="K13" i="7"/>
  <c r="K14" i="7" s="1"/>
  <c r="K15" i="7" s="1"/>
  <c r="J13" i="7"/>
  <c r="J14" i="7" s="1"/>
  <c r="J15" i="7" s="1"/>
  <c r="I13" i="7"/>
  <c r="I14" i="7" s="1"/>
  <c r="I15" i="7" s="1"/>
  <c r="H13" i="7"/>
  <c r="G13" i="7"/>
  <c r="G14" i="7" s="1"/>
  <c r="G15" i="7" s="1"/>
  <c r="F13" i="7"/>
  <c r="F14" i="7" s="1"/>
  <c r="F15" i="7" s="1"/>
  <c r="E13" i="7"/>
  <c r="E14" i="7" s="1"/>
  <c r="D13" i="7"/>
  <c r="S8" i="7"/>
  <c r="S9" i="7" s="1"/>
  <c r="S10" i="7" s="1"/>
  <c r="R8" i="7"/>
  <c r="R9" i="7" s="1"/>
  <c r="R10" i="7" s="1"/>
  <c r="Q8" i="7"/>
  <c r="Q9" i="7" s="1"/>
  <c r="Q10" i="7" s="1"/>
  <c r="P8" i="7"/>
  <c r="P9" i="7" s="1"/>
  <c r="P10" i="7" s="1"/>
  <c r="O8" i="7"/>
  <c r="O9" i="7" s="1"/>
  <c r="O10" i="7" s="1"/>
  <c r="N8" i="7"/>
  <c r="N9" i="7" s="1"/>
  <c r="N10" i="7" s="1"/>
  <c r="M8" i="7"/>
  <c r="M9" i="7" s="1"/>
  <c r="M10" i="7" s="1"/>
  <c r="L8" i="7"/>
  <c r="L9" i="7" s="1"/>
  <c r="L10" i="7" s="1"/>
  <c r="K8" i="7"/>
  <c r="K9" i="7" s="1"/>
  <c r="K10" i="7" s="1"/>
  <c r="J8" i="7"/>
  <c r="J9" i="7" s="1"/>
  <c r="J10" i="7" s="1"/>
  <c r="I8" i="7"/>
  <c r="I9" i="7" s="1"/>
  <c r="I10" i="7" s="1"/>
  <c r="H8" i="7"/>
  <c r="H9" i="7" s="1"/>
  <c r="H10" i="7" s="1"/>
  <c r="G8" i="7"/>
  <c r="G9" i="7" s="1"/>
  <c r="G10" i="7" s="1"/>
  <c r="F8" i="7"/>
  <c r="F9" i="7" s="1"/>
  <c r="F10" i="7" s="1"/>
  <c r="E8" i="7"/>
  <c r="E9" i="7" s="1"/>
  <c r="E10" i="7" s="1"/>
  <c r="D8" i="7"/>
  <c r="D9" i="7" s="1"/>
  <c r="D10" i="7" s="1"/>
  <c r="R28" i="6"/>
  <c r="Q27" i="6"/>
  <c r="Q28" i="6" s="1"/>
  <c r="M27" i="6"/>
  <c r="M28" i="6" s="1"/>
  <c r="I27" i="6"/>
  <c r="I28" i="6" s="1"/>
  <c r="E27" i="6"/>
  <c r="E28" i="6" s="1"/>
  <c r="R26" i="6"/>
  <c r="R27" i="6" s="1"/>
  <c r="Q26" i="6"/>
  <c r="P26" i="6"/>
  <c r="P27" i="6" s="1"/>
  <c r="P28" i="6" s="1"/>
  <c r="O26" i="6"/>
  <c r="O27" i="6" s="1"/>
  <c r="O28" i="6" s="1"/>
  <c r="N26" i="6"/>
  <c r="N27" i="6" s="1"/>
  <c r="N28" i="6" s="1"/>
  <c r="M26" i="6"/>
  <c r="L26" i="6"/>
  <c r="L27" i="6" s="1"/>
  <c r="L28" i="6" s="1"/>
  <c r="K26" i="6"/>
  <c r="K27" i="6" s="1"/>
  <c r="K28" i="6" s="1"/>
  <c r="J26" i="6"/>
  <c r="J27" i="6" s="1"/>
  <c r="J28" i="6" s="1"/>
  <c r="I26" i="6"/>
  <c r="H26" i="6"/>
  <c r="H27" i="6" s="1"/>
  <c r="H28" i="6" s="1"/>
  <c r="G26" i="6"/>
  <c r="G27" i="6" s="1"/>
  <c r="G28" i="6" s="1"/>
  <c r="F26" i="6"/>
  <c r="F27" i="6" s="1"/>
  <c r="F28" i="6" s="1"/>
  <c r="E26" i="6"/>
  <c r="D26" i="6"/>
  <c r="D27" i="6" s="1"/>
  <c r="D28" i="6" s="1"/>
  <c r="O23" i="6"/>
  <c r="O22" i="6"/>
  <c r="G22" i="6"/>
  <c r="G23" i="6" s="1"/>
  <c r="S21" i="6"/>
  <c r="S22" i="6" s="1"/>
  <c r="S23" i="6" s="1"/>
  <c r="R21" i="6"/>
  <c r="R22" i="6" s="1"/>
  <c r="R23" i="6" s="1"/>
  <c r="Q21" i="6"/>
  <c r="Q22" i="6" s="1"/>
  <c r="Q23" i="6" s="1"/>
  <c r="P21" i="6"/>
  <c r="P22" i="6" s="1"/>
  <c r="P23" i="6" s="1"/>
  <c r="O21" i="6"/>
  <c r="N21" i="6"/>
  <c r="N22" i="6" s="1"/>
  <c r="N23" i="6" s="1"/>
  <c r="M21" i="6"/>
  <c r="M22" i="6" s="1"/>
  <c r="M23" i="6" s="1"/>
  <c r="L21" i="6"/>
  <c r="L22" i="6" s="1"/>
  <c r="L23" i="6" s="1"/>
  <c r="K21" i="6"/>
  <c r="K22" i="6" s="1"/>
  <c r="K23" i="6" s="1"/>
  <c r="J21" i="6"/>
  <c r="J22" i="6" s="1"/>
  <c r="J23" i="6" s="1"/>
  <c r="I21" i="6"/>
  <c r="I22" i="6" s="1"/>
  <c r="I23" i="6" s="1"/>
  <c r="H21" i="6"/>
  <c r="H22" i="6" s="1"/>
  <c r="H23" i="6" s="1"/>
  <c r="G21" i="6"/>
  <c r="F21" i="6"/>
  <c r="F22" i="6" s="1"/>
  <c r="F23" i="6" s="1"/>
  <c r="E21" i="6"/>
  <c r="E22" i="6" s="1"/>
  <c r="E23" i="6" s="1"/>
  <c r="D21" i="6"/>
  <c r="D22" i="6" s="1"/>
  <c r="D23" i="6" s="1"/>
  <c r="N14" i="6"/>
  <c r="Q13" i="6"/>
  <c r="Q14" i="6" s="1"/>
  <c r="M13" i="6"/>
  <c r="M14" i="6" s="1"/>
  <c r="G13" i="6"/>
  <c r="G14" i="6" s="1"/>
  <c r="E13" i="6"/>
  <c r="E14" i="6" s="1"/>
  <c r="R12" i="6"/>
  <c r="R13" i="6" s="1"/>
  <c r="R14" i="6" s="1"/>
  <c r="Q12" i="6"/>
  <c r="P12" i="6"/>
  <c r="P13" i="6" s="1"/>
  <c r="P14" i="6" s="1"/>
  <c r="O12" i="6"/>
  <c r="O13" i="6" s="1"/>
  <c r="O14" i="6" s="1"/>
  <c r="N12" i="6"/>
  <c r="N13" i="6" s="1"/>
  <c r="M12" i="6"/>
  <c r="L12" i="6"/>
  <c r="L13" i="6" s="1"/>
  <c r="L14" i="6" s="1"/>
  <c r="K12" i="6"/>
  <c r="K13" i="6" s="1"/>
  <c r="K14" i="6" s="1"/>
  <c r="J12" i="6"/>
  <c r="J13" i="6" s="1"/>
  <c r="J14" i="6" s="1"/>
  <c r="I12" i="6"/>
  <c r="I13" i="6" s="1"/>
  <c r="I14" i="6" s="1"/>
  <c r="H12" i="6"/>
  <c r="H13" i="6" s="1"/>
  <c r="H14" i="6" s="1"/>
  <c r="G12" i="6"/>
  <c r="F12" i="6"/>
  <c r="F13" i="6" s="1"/>
  <c r="F14" i="6" s="1"/>
  <c r="E12" i="6"/>
  <c r="D12" i="6"/>
  <c r="D13" i="6" s="1"/>
  <c r="D14" i="6" s="1"/>
  <c r="J8" i="6"/>
  <c r="J9" i="6" s="1"/>
  <c r="F8" i="6"/>
  <c r="F9" i="6" s="1"/>
  <c r="S7" i="6"/>
  <c r="S8" i="6" s="1"/>
  <c r="S9" i="6" s="1"/>
  <c r="R7" i="6"/>
  <c r="R8" i="6" s="1"/>
  <c r="R9" i="6" s="1"/>
  <c r="Q7" i="6"/>
  <c r="Q8" i="6" s="1"/>
  <c r="Q9" i="6" s="1"/>
  <c r="P7" i="6"/>
  <c r="P8" i="6" s="1"/>
  <c r="P9" i="6" s="1"/>
  <c r="O7" i="6"/>
  <c r="O8" i="6" s="1"/>
  <c r="O9" i="6" s="1"/>
  <c r="N7" i="6"/>
  <c r="N8" i="6" s="1"/>
  <c r="N9" i="6" s="1"/>
  <c r="M7" i="6"/>
  <c r="M8" i="6" s="1"/>
  <c r="M9" i="6" s="1"/>
  <c r="L7" i="6"/>
  <c r="L8" i="6" s="1"/>
  <c r="L9" i="6" s="1"/>
  <c r="K7" i="6"/>
  <c r="K8" i="6" s="1"/>
  <c r="K9" i="6" s="1"/>
  <c r="J7" i="6"/>
  <c r="I7" i="6"/>
  <c r="I8" i="6" s="1"/>
  <c r="I9" i="6" s="1"/>
  <c r="H7" i="6"/>
  <c r="H8" i="6" s="1"/>
  <c r="H9" i="6" s="1"/>
  <c r="G7" i="6"/>
  <c r="G8" i="6" s="1"/>
  <c r="G9" i="6" s="1"/>
  <c r="F7" i="6"/>
  <c r="E7" i="6"/>
  <c r="E8" i="6" s="1"/>
  <c r="E9" i="6" s="1"/>
  <c r="D7" i="6"/>
  <c r="D8" i="6" s="1"/>
  <c r="D9" i="6" s="1"/>
  <c r="J17" i="5"/>
  <c r="J18" i="5" s="1"/>
  <c r="F17" i="5"/>
  <c r="F18" i="5" s="1"/>
  <c r="S16" i="5"/>
  <c r="S17" i="5" s="1"/>
  <c r="S18" i="5" s="1"/>
  <c r="R16" i="5"/>
  <c r="R17" i="5" s="1"/>
  <c r="R18" i="5" s="1"/>
  <c r="Q16" i="5"/>
  <c r="Q17" i="5" s="1"/>
  <c r="Q18" i="5" s="1"/>
  <c r="P16" i="5"/>
  <c r="P17" i="5" s="1"/>
  <c r="P18" i="5" s="1"/>
  <c r="O16" i="5"/>
  <c r="O17" i="5" s="1"/>
  <c r="O18" i="5" s="1"/>
  <c r="N16" i="5"/>
  <c r="N17" i="5" s="1"/>
  <c r="N18" i="5" s="1"/>
  <c r="M16" i="5"/>
  <c r="M17" i="5" s="1"/>
  <c r="M18" i="5" s="1"/>
  <c r="L16" i="5"/>
  <c r="L17" i="5" s="1"/>
  <c r="L18" i="5" s="1"/>
  <c r="K16" i="5"/>
  <c r="K17" i="5" s="1"/>
  <c r="K18" i="5" s="1"/>
  <c r="J16" i="5"/>
  <c r="I16" i="5"/>
  <c r="I17" i="5" s="1"/>
  <c r="I18" i="5" s="1"/>
  <c r="H16" i="5"/>
  <c r="H17" i="5" s="1"/>
  <c r="H18" i="5" s="1"/>
  <c r="G16" i="5"/>
  <c r="G17" i="5" s="1"/>
  <c r="G18" i="5" s="1"/>
  <c r="F16" i="5"/>
  <c r="E16" i="5"/>
  <c r="E17" i="5" s="1"/>
  <c r="E18" i="5" s="1"/>
  <c r="D16" i="5"/>
  <c r="D17" i="5" s="1"/>
  <c r="D18" i="5" s="1"/>
  <c r="R8" i="5"/>
  <c r="R9" i="5" s="1"/>
  <c r="J8" i="5"/>
  <c r="J9" i="5" s="1"/>
  <c r="F8" i="5"/>
  <c r="F9" i="5" s="1"/>
  <c r="S7" i="5"/>
  <c r="S8" i="5" s="1"/>
  <c r="S9" i="5" s="1"/>
  <c r="R7" i="5"/>
  <c r="Q7" i="5"/>
  <c r="Q8" i="5" s="1"/>
  <c r="Q9" i="5" s="1"/>
  <c r="P7" i="5"/>
  <c r="P8" i="5" s="1"/>
  <c r="P9" i="5" s="1"/>
  <c r="O7" i="5"/>
  <c r="O8" i="5" s="1"/>
  <c r="O9" i="5" s="1"/>
  <c r="N7" i="5"/>
  <c r="N8" i="5" s="1"/>
  <c r="N9" i="5" s="1"/>
  <c r="M7" i="5"/>
  <c r="M8" i="5" s="1"/>
  <c r="M9" i="5" s="1"/>
  <c r="L7" i="5"/>
  <c r="L8" i="5" s="1"/>
  <c r="L9" i="5" s="1"/>
  <c r="K7" i="5"/>
  <c r="K8" i="5" s="1"/>
  <c r="K9" i="5" s="1"/>
  <c r="J7" i="5"/>
  <c r="I7" i="5"/>
  <c r="I8" i="5" s="1"/>
  <c r="I9" i="5" s="1"/>
  <c r="H7" i="5"/>
  <c r="H8" i="5" s="1"/>
  <c r="H9" i="5" s="1"/>
  <c r="G7" i="5"/>
  <c r="G8" i="5" s="1"/>
  <c r="G9" i="5" s="1"/>
  <c r="F7" i="5"/>
  <c r="E7" i="5"/>
  <c r="E8" i="5" s="1"/>
  <c r="E9" i="5" s="1"/>
  <c r="D7" i="5"/>
  <c r="D8" i="5" s="1"/>
  <c r="D9" i="5" s="1"/>
  <c r="Q14" i="4"/>
  <c r="I14" i="4"/>
  <c r="E14" i="4"/>
  <c r="P13" i="4"/>
  <c r="P14" i="4" s="1"/>
  <c r="L13" i="4"/>
  <c r="L14" i="4" s="1"/>
  <c r="H13" i="4"/>
  <c r="H14" i="4" s="1"/>
  <c r="D13" i="4"/>
  <c r="D14" i="4" s="1"/>
  <c r="R12" i="4"/>
  <c r="R13" i="4" s="1"/>
  <c r="R14" i="4" s="1"/>
  <c r="Q12" i="4"/>
  <c r="Q13" i="4" s="1"/>
  <c r="P12" i="4"/>
  <c r="O12" i="4"/>
  <c r="O13" i="4" s="1"/>
  <c r="O14" i="4" s="1"/>
  <c r="N12" i="4"/>
  <c r="N13" i="4" s="1"/>
  <c r="N14" i="4" s="1"/>
  <c r="M12" i="4"/>
  <c r="M13" i="4" s="1"/>
  <c r="M14" i="4" s="1"/>
  <c r="L12" i="4"/>
  <c r="K12" i="4"/>
  <c r="K13" i="4" s="1"/>
  <c r="K14" i="4" s="1"/>
  <c r="J12" i="4"/>
  <c r="J13" i="4" s="1"/>
  <c r="J14" i="4" s="1"/>
  <c r="I12" i="4"/>
  <c r="I13" i="4" s="1"/>
  <c r="H12" i="4"/>
  <c r="G12" i="4"/>
  <c r="G13" i="4" s="1"/>
  <c r="G14" i="4" s="1"/>
  <c r="F12" i="4"/>
  <c r="F13" i="4" s="1"/>
  <c r="F14" i="4" s="1"/>
  <c r="E12" i="4"/>
  <c r="E13" i="4" s="1"/>
  <c r="D12" i="4"/>
  <c r="S7" i="4"/>
  <c r="S8" i="4" s="1"/>
  <c r="S9" i="4" s="1"/>
  <c r="R7" i="4"/>
  <c r="R8" i="4" s="1"/>
  <c r="R9" i="4" s="1"/>
  <c r="Q7" i="4"/>
  <c r="Q8" i="4" s="1"/>
  <c r="Q9" i="4" s="1"/>
  <c r="P7" i="4"/>
  <c r="P8" i="4" s="1"/>
  <c r="P9" i="4" s="1"/>
  <c r="O7" i="4"/>
  <c r="O8" i="4" s="1"/>
  <c r="O9" i="4" s="1"/>
  <c r="N7" i="4"/>
  <c r="N8" i="4" s="1"/>
  <c r="N9" i="4" s="1"/>
  <c r="M7" i="4"/>
  <c r="M8" i="4" s="1"/>
  <c r="M9" i="4" s="1"/>
  <c r="L7" i="4"/>
  <c r="L8" i="4" s="1"/>
  <c r="L9" i="4" s="1"/>
  <c r="K7" i="4"/>
  <c r="K8" i="4" s="1"/>
  <c r="K9" i="4" s="1"/>
  <c r="J7" i="4"/>
  <c r="J8" i="4" s="1"/>
  <c r="J9" i="4" s="1"/>
  <c r="I7" i="4"/>
  <c r="I8" i="4" s="1"/>
  <c r="I9" i="4" s="1"/>
  <c r="H7" i="4"/>
  <c r="H8" i="4" s="1"/>
  <c r="H9" i="4" s="1"/>
  <c r="G7" i="4"/>
  <c r="G8" i="4" s="1"/>
  <c r="G9" i="4" s="1"/>
  <c r="F7" i="4"/>
  <c r="F8" i="4" s="1"/>
  <c r="F9" i="4" s="1"/>
  <c r="E7" i="4"/>
  <c r="E8" i="4" s="1"/>
  <c r="E9" i="4" s="1"/>
  <c r="D7" i="4"/>
  <c r="D8" i="4" s="1"/>
  <c r="D9" i="4" s="1"/>
  <c r="Q13" i="3"/>
  <c r="Q14" i="3" s="1"/>
  <c r="M13" i="3"/>
  <c r="M14" i="3" s="1"/>
  <c r="I13" i="3"/>
  <c r="I14" i="3" s="1"/>
  <c r="E13" i="3"/>
  <c r="E14" i="3" s="1"/>
  <c r="R12" i="3"/>
  <c r="R13" i="3" s="1"/>
  <c r="R14" i="3" s="1"/>
  <c r="Q12" i="3"/>
  <c r="P12" i="3"/>
  <c r="P13" i="3" s="1"/>
  <c r="P14" i="3" s="1"/>
  <c r="O12" i="3"/>
  <c r="O13" i="3" s="1"/>
  <c r="O14" i="3" s="1"/>
  <c r="N12" i="3"/>
  <c r="N13" i="3" s="1"/>
  <c r="N14" i="3" s="1"/>
  <c r="M12" i="3"/>
  <c r="L12" i="3"/>
  <c r="L13" i="3" s="1"/>
  <c r="L14" i="3" s="1"/>
  <c r="K12" i="3"/>
  <c r="K13" i="3" s="1"/>
  <c r="K14" i="3" s="1"/>
  <c r="J12" i="3"/>
  <c r="J13" i="3" s="1"/>
  <c r="J14" i="3" s="1"/>
  <c r="I12" i="3"/>
  <c r="H12" i="3"/>
  <c r="H13" i="3" s="1"/>
  <c r="H14" i="3" s="1"/>
  <c r="G12" i="3"/>
  <c r="G13" i="3" s="1"/>
  <c r="G14" i="3" s="1"/>
  <c r="F12" i="3"/>
  <c r="F13" i="3" s="1"/>
  <c r="F14" i="3" s="1"/>
  <c r="E12" i="3"/>
  <c r="D12" i="3"/>
  <c r="D13" i="3" s="1"/>
  <c r="D14" i="3" s="1"/>
  <c r="P8" i="3"/>
  <c r="P9" i="3" s="1"/>
  <c r="L8" i="3"/>
  <c r="L9" i="3" s="1"/>
  <c r="S7" i="3"/>
  <c r="S8" i="3" s="1"/>
  <c r="S9" i="3" s="1"/>
  <c r="R7" i="3"/>
  <c r="R8" i="3" s="1"/>
  <c r="R9" i="3" s="1"/>
  <c r="Q7" i="3"/>
  <c r="Q8" i="3" s="1"/>
  <c r="Q9" i="3" s="1"/>
  <c r="P7" i="3"/>
  <c r="O7" i="3"/>
  <c r="O8" i="3" s="1"/>
  <c r="O9" i="3" s="1"/>
  <c r="N7" i="3"/>
  <c r="N8" i="3" s="1"/>
  <c r="N9" i="3" s="1"/>
  <c r="M7" i="3"/>
  <c r="M8" i="3" s="1"/>
  <c r="M9" i="3" s="1"/>
  <c r="L7" i="3"/>
  <c r="K7" i="3"/>
  <c r="K8" i="3" s="1"/>
  <c r="K9" i="3" s="1"/>
  <c r="J7" i="3"/>
  <c r="J8" i="3" s="1"/>
  <c r="J9" i="3" s="1"/>
  <c r="I7" i="3"/>
  <c r="I8" i="3" s="1"/>
  <c r="I9" i="3" s="1"/>
  <c r="H7" i="3"/>
  <c r="H8" i="3" s="1"/>
  <c r="H9" i="3" s="1"/>
  <c r="G7" i="3"/>
  <c r="G8" i="3" s="1"/>
  <c r="G9" i="3" s="1"/>
  <c r="F7" i="3"/>
  <c r="F8" i="3" s="1"/>
  <c r="F9" i="3" s="1"/>
  <c r="E7" i="3"/>
  <c r="E8" i="3" s="1"/>
  <c r="E9" i="3" s="1"/>
  <c r="D7" i="3"/>
  <c r="D8" i="3" s="1"/>
  <c r="D9" i="3" s="1"/>
  <c r="O14" i="2"/>
  <c r="K14" i="2"/>
  <c r="R13" i="2"/>
  <c r="R14" i="2" s="1"/>
  <c r="J13" i="2"/>
  <c r="J14" i="2" s="1"/>
  <c r="R12" i="2"/>
  <c r="Q12" i="2"/>
  <c r="Q13" i="2" s="1"/>
  <c r="Q14" i="2" s="1"/>
  <c r="P12" i="2"/>
  <c r="P13" i="2" s="1"/>
  <c r="P14" i="2" s="1"/>
  <c r="O12" i="2"/>
  <c r="O13" i="2" s="1"/>
  <c r="N12" i="2"/>
  <c r="N13" i="2" s="1"/>
  <c r="N14" i="2" s="1"/>
  <c r="M12" i="2"/>
  <c r="M13" i="2" s="1"/>
  <c r="M14" i="2" s="1"/>
  <c r="L12" i="2"/>
  <c r="L13" i="2" s="1"/>
  <c r="L14" i="2" s="1"/>
  <c r="K12" i="2"/>
  <c r="K13" i="2" s="1"/>
  <c r="J12" i="2"/>
  <c r="I12" i="2"/>
  <c r="I13" i="2" s="1"/>
  <c r="I14" i="2" s="1"/>
  <c r="H12" i="2"/>
  <c r="H13" i="2" s="1"/>
  <c r="H14" i="2" s="1"/>
  <c r="G12" i="2"/>
  <c r="G13" i="2" s="1"/>
  <c r="G14" i="2" s="1"/>
  <c r="F12" i="2"/>
  <c r="F13" i="2" s="1"/>
  <c r="F14" i="2" s="1"/>
  <c r="E12" i="2"/>
  <c r="E13" i="2" s="1"/>
  <c r="E14" i="2" s="1"/>
  <c r="D12" i="2"/>
  <c r="D13" i="2" s="1"/>
  <c r="D14" i="2" s="1"/>
  <c r="S7" i="2"/>
  <c r="S8" i="2" s="1"/>
  <c r="S9" i="2" s="1"/>
  <c r="R7" i="2"/>
  <c r="R8" i="2" s="1"/>
  <c r="R9" i="2" s="1"/>
  <c r="Q7" i="2"/>
  <c r="Q8" i="2" s="1"/>
  <c r="Q9" i="2" s="1"/>
  <c r="P7" i="2"/>
  <c r="P8" i="2" s="1"/>
  <c r="P9" i="2" s="1"/>
  <c r="O7" i="2"/>
  <c r="O8" i="2" s="1"/>
  <c r="O9" i="2" s="1"/>
  <c r="N7" i="2"/>
  <c r="N8" i="2" s="1"/>
  <c r="N9" i="2" s="1"/>
  <c r="M7" i="2"/>
  <c r="M8" i="2" s="1"/>
  <c r="M9" i="2" s="1"/>
  <c r="L7" i="2"/>
  <c r="L8" i="2" s="1"/>
  <c r="L9" i="2" s="1"/>
  <c r="K7" i="2"/>
  <c r="K8" i="2" s="1"/>
  <c r="K9" i="2" s="1"/>
  <c r="J7" i="2"/>
  <c r="J8" i="2" s="1"/>
  <c r="J9" i="2" s="1"/>
  <c r="I7" i="2"/>
  <c r="I8" i="2" s="1"/>
  <c r="I9" i="2" s="1"/>
  <c r="H7" i="2"/>
  <c r="H8" i="2" s="1"/>
  <c r="H9" i="2" s="1"/>
  <c r="G7" i="2"/>
  <c r="G8" i="2" s="1"/>
  <c r="G9" i="2" s="1"/>
  <c r="F7" i="2"/>
  <c r="F8" i="2" s="1"/>
  <c r="F9" i="2" s="1"/>
  <c r="E7" i="2"/>
  <c r="E8" i="2" s="1"/>
  <c r="E9" i="2" s="1"/>
  <c r="D7" i="2"/>
  <c r="D8" i="2" s="1"/>
  <c r="D9" i="2" s="1"/>
</calcChain>
</file>

<file path=xl/sharedStrings.xml><?xml version="1.0" encoding="utf-8"?>
<sst xmlns="http://schemas.openxmlformats.org/spreadsheetml/2006/main" count="205" uniqueCount="46">
  <si>
    <t>Initial placement on pay scale per verified experience</t>
  </si>
  <si>
    <t xml:space="preserve">Grundy County Schools </t>
  </si>
  <si>
    <t>Non-Professional 
Payscale</t>
  </si>
  <si>
    <t>Assignment</t>
  </si>
  <si>
    <t>Daily 
Hours</t>
  </si>
  <si>
    <t># of Days</t>
  </si>
  <si>
    <t>Licensed Practicing 
Nurse - 
school nurse and SPED, 
may include summer 
school, varies with need</t>
  </si>
  <si>
    <t>200 days</t>
  </si>
  <si>
    <t>240 days</t>
  </si>
  <si>
    <t>Custodian</t>
  </si>
  <si>
    <t>Maintenance/
Transportation 
Supervisor</t>
  </si>
  <si>
    <t>Lead Mechanic</t>
  </si>
  <si>
    <t xml:space="preserve">Years of Experience                                                Years of Experience                                                </t>
  </si>
  <si>
    <t>Educational Assistant or ParaPro</t>
  </si>
  <si>
    <t>(daily rate)</t>
  </si>
  <si>
    <t>(hourly rate)</t>
  </si>
  <si>
    <t xml:space="preserve">Years of Experience                                                Years of Experience                                                    </t>
  </si>
  <si>
    <t>(continued)</t>
  </si>
  <si>
    <t xml:space="preserve">Years of Experience                                                Years of Experience                                                                                                                                          </t>
  </si>
  <si>
    <t>School Secretary/ Bookkeeper
/Attendance</t>
  </si>
  <si>
    <t>Mechanics</t>
  </si>
  <si>
    <t xml:space="preserve"> Mechanics</t>
  </si>
  <si>
    <t>(without any certification)</t>
  </si>
  <si>
    <t xml:space="preserve">Maintenance </t>
  </si>
  <si>
    <t xml:space="preserve">Years of Experience                                                Years of Experience                                                    Years of Experience                                 Years of Experience                                                 Years of Experience                         </t>
  </si>
  <si>
    <t>(with certification)</t>
  </si>
  <si>
    <t xml:space="preserve">Years of Experience                                                Years of Experience                                                    Years of Experience                                                  Years of Experience                                                Years of Experience </t>
  </si>
  <si>
    <t xml:space="preserve">Board Approved on </t>
  </si>
  <si>
    <t>Approved - School Nurse Pay-scale 08.12.2021</t>
  </si>
  <si>
    <t>School Nurse Payscale</t>
  </si>
  <si>
    <t>Lead School Nurse Payscale</t>
  </si>
  <si>
    <t>Registered Nurse (RN)</t>
  </si>
  <si>
    <t>220 days</t>
  </si>
  <si>
    <t>19 / 20</t>
  </si>
  <si>
    <t xml:space="preserve">*based off of the teacher's certified BS degree / plus 1 month salary / plus $1,000 for lead nurse </t>
  </si>
  <si>
    <t>Technology Technician</t>
  </si>
  <si>
    <t>Proposed -Payroll Clerk/Benefit Clerk &amp; Budget and Finance Manager Pay-scale</t>
  </si>
  <si>
    <t>Payroll Clerk</t>
  </si>
  <si>
    <t>(both positions will be classified as "Professional Employees" and will receive the same insurance benefits as licensed personnel)</t>
  </si>
  <si>
    <t>Budget &amp; Finance Manager (non-degree)</t>
  </si>
  <si>
    <t>w/ degree</t>
  </si>
  <si>
    <t>w/ CPA</t>
  </si>
  <si>
    <t>Director of Human Resources</t>
  </si>
  <si>
    <t>w/ Master's degree</t>
  </si>
  <si>
    <t>21+</t>
  </si>
  <si>
    <t>(position will be classified as "Professional Employees" and will receive the same insurance benefits as licensed personnel)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</si>
</sst>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6" formatCode="&quot;$&quot;#,##0.00"/>
  </numFmts>
  <fonts count="56">
    <font>
      <sz val="11"/>
      <color rgb="FF000000"/>
      <name val="Calibri"/>
    </font>
    <font>
      <sz val="12"/>
      <color rgb="FF000000"/>
      <name val="Times New Roman"/>
      <family val="1"/>
    </font>
    <font>
      <b/>
      <sz val="11"/>
      <color rgb="FFFFFF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sz val="11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i/>
      <sz val="11"/>
      <color rgb="FF0000FF"/>
      <name val="Times New Roman"/>
      <family val="1"/>
    </font>
    <font>
      <sz val="11"/>
      <color rgb="FFBDD6EE"/>
      <name val="Times New Roman"/>
      <family val="1"/>
    </font>
    <font>
      <b/>
      <i/>
      <sz val="11"/>
      <color rgb="FF6AA84F"/>
      <name val="Times New Roman"/>
      <family val="1"/>
    </font>
    <font>
      <b/>
      <sz val="11"/>
      <color rgb="FF6AA84F"/>
      <name val="Times New Roman"/>
      <family val="1"/>
    </font>
    <font>
      <b/>
      <i/>
      <sz val="11"/>
      <color rgb="FFCC0000"/>
      <name val="Times New Roman"/>
      <family val="1"/>
    </font>
    <font>
      <b/>
      <sz val="11"/>
      <color rgb="FFCC000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i/>
      <sz val="11"/>
      <color rgb="FF0000FF"/>
      <name val="Times New Roman"/>
      <family val="1"/>
    </font>
    <font>
      <sz val="8"/>
      <color rgb="FFBDD6EE"/>
      <name val="Times New Roman"/>
      <family val="1"/>
    </font>
    <font>
      <b/>
      <i/>
      <sz val="11"/>
      <color rgb="FF6AA84F"/>
      <name val="Times New Roman"/>
      <family val="1"/>
    </font>
    <font>
      <b/>
      <sz val="11"/>
      <color rgb="FF6AA84F"/>
      <name val="Times New Roman"/>
      <family val="1"/>
    </font>
    <font>
      <b/>
      <i/>
      <sz val="11"/>
      <color rgb="FFCC0000"/>
      <name val="Times New Roman"/>
      <family val="1"/>
    </font>
    <font>
      <b/>
      <sz val="11"/>
      <color rgb="FFCC0000"/>
      <name val="Times New Roman"/>
      <family val="1"/>
    </font>
    <font>
      <i/>
      <sz val="11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FF9900"/>
      <name val="Times New Roman"/>
      <family val="1"/>
    </font>
    <font>
      <sz val="12"/>
      <color rgb="FF000000"/>
      <name val="&quot;Times New Roman&quot;"/>
    </font>
    <font>
      <sz val="11"/>
      <name val="Arial"/>
      <family val="2"/>
    </font>
    <font>
      <b/>
      <i/>
      <sz val="11"/>
      <color rgb="FFFF9900"/>
      <name val="Arial"/>
      <family val="2"/>
    </font>
    <font>
      <b/>
      <sz val="11"/>
      <color rgb="FFFFFF00"/>
      <name val="&quot;Times New Roman&quot;"/>
    </font>
    <font>
      <b/>
      <sz val="11"/>
      <color rgb="FF000000"/>
      <name val="&quot;Times New Roman&quot;"/>
    </font>
    <font>
      <b/>
      <sz val="11"/>
      <color rgb="FF000000"/>
      <name val="Calibri"/>
      <family val="2"/>
    </font>
    <font>
      <b/>
      <sz val="8"/>
      <color rgb="FF000000"/>
      <name val="&quot;Times New Roman&quot;"/>
    </font>
    <font>
      <b/>
      <sz val="12"/>
      <color rgb="FF000000"/>
      <name val="&quot;Times New Roman&quot;"/>
    </font>
    <font>
      <sz val="11"/>
      <color rgb="FF000000"/>
      <name val="&quot;Times New Roman&quot;"/>
    </font>
    <font>
      <b/>
      <i/>
      <sz val="11"/>
      <color rgb="FF6AA84F"/>
      <name val="Arial"/>
      <family val="2"/>
    </font>
    <font>
      <b/>
      <sz val="11"/>
      <color rgb="FF6AA84F"/>
      <name val="Arial"/>
      <family val="2"/>
    </font>
    <font>
      <b/>
      <sz val="11"/>
      <color rgb="FF6AA84F"/>
      <name val="Inconsolata"/>
    </font>
    <font>
      <b/>
      <i/>
      <sz val="11"/>
      <color rgb="FFCC0000"/>
      <name val="Arial"/>
      <family val="2"/>
    </font>
    <font>
      <b/>
      <sz val="11"/>
      <color rgb="FFCC0000"/>
      <name val="Arial"/>
      <family val="2"/>
    </font>
    <font>
      <i/>
      <sz val="11"/>
      <name val="Arial"/>
      <family val="2"/>
    </font>
    <font>
      <b/>
      <sz val="11"/>
      <color rgb="FFFFFFFF"/>
      <name val="&quot;Times New Roman&quot;"/>
    </font>
    <font>
      <sz val="11"/>
      <name val="&quot;Times New Roman&quot;"/>
    </font>
    <font>
      <b/>
      <sz val="11"/>
      <name val="&quot;Times New Roman&quot;"/>
    </font>
    <font>
      <b/>
      <sz val="11"/>
      <color rgb="FF6AA84F"/>
      <name val="&quot;Times New Roman&quot;"/>
    </font>
    <font>
      <b/>
      <sz val="11"/>
      <color rgb="FFCC0000"/>
      <name val="&quot;Times New Roman&quot;"/>
    </font>
    <font>
      <i/>
      <sz val="11"/>
      <name val="&quot;Times New Roman&quot;"/>
    </font>
    <font>
      <b/>
      <i/>
      <sz val="11"/>
      <color rgb="FFFF9900"/>
      <name val="Times New Roman"/>
      <family val="1"/>
    </font>
    <font>
      <b/>
      <sz val="11"/>
      <color rgb="FFFF00FF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&quot;Times New Roman&quot;"/>
    </font>
    <font>
      <i/>
      <sz val="11"/>
      <name val="Calibri"/>
      <family val="2"/>
    </font>
    <font>
      <sz val="11"/>
      <color rgb="FF000000"/>
      <name val="Inconsolata"/>
    </font>
  </fonts>
  <fills count="15">
    <fill>
      <patternFill patternType="none"/>
    </fill>
    <fill>
      <patternFill patternType="gray125"/>
    </fill>
    <fill>
      <patternFill patternType="solid">
        <fgColor rgb="FF9900FF"/>
        <bgColor rgb="FF9900FF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  <fill>
      <patternFill patternType="solid">
        <fgColor rgb="FFD9EAD3"/>
        <bgColor rgb="FFD9EAD3"/>
      </patternFill>
    </fill>
    <fill>
      <patternFill patternType="solid">
        <fgColor rgb="FFBDD6EE"/>
        <bgColor rgb="FFBDD6EE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26">
    <xf numFmtId="0" fontId="0" fillId="0" borderId="0" xfId="0" applyFont="1" applyAlignment="1"/>
    <xf numFmtId="49" fontId="1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5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3" borderId="0" xfId="0" applyFont="1" applyFill="1" applyAlignment="1"/>
    <xf numFmtId="49" fontId="10" fillId="0" borderId="0" xfId="0" applyNumberFormat="1" applyFont="1" applyAlignment="1">
      <alignment horizontal="center"/>
    </xf>
    <xf numFmtId="49" fontId="10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9" fillId="4" borderId="4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/>
    </xf>
    <xf numFmtId="49" fontId="9" fillId="5" borderId="4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wrapText="1"/>
    </xf>
    <xf numFmtId="0" fontId="9" fillId="5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right"/>
    </xf>
    <xf numFmtId="0" fontId="11" fillId="0" borderId="4" xfId="0" applyFont="1" applyBorder="1"/>
    <xf numFmtId="166" fontId="15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right"/>
    </xf>
    <xf numFmtId="166" fontId="17" fillId="3" borderId="4" xfId="0" applyNumberFormat="1" applyFont="1" applyFill="1" applyBorder="1" applyAlignment="1">
      <alignment horizontal="center"/>
    </xf>
    <xf numFmtId="166" fontId="17" fillId="3" borderId="6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17" fillId="0" borderId="4" xfId="0" applyNumberFormat="1" applyFont="1" applyBorder="1" applyAlignment="1">
      <alignment horizontal="center"/>
    </xf>
    <xf numFmtId="0" fontId="19" fillId="0" borderId="0" xfId="0" applyFont="1"/>
    <xf numFmtId="0" fontId="20" fillId="3" borderId="0" xfId="0" applyFont="1" applyFill="1" applyAlignment="1"/>
    <xf numFmtId="49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right"/>
    </xf>
    <xf numFmtId="0" fontId="19" fillId="0" borderId="4" xfId="0" applyFont="1" applyBorder="1"/>
    <xf numFmtId="166" fontId="23" fillId="0" borderId="4" xfId="0" applyNumberFormat="1" applyFont="1" applyBorder="1" applyAlignment="1">
      <alignment horizontal="center"/>
    </xf>
    <xf numFmtId="0" fontId="24" fillId="0" borderId="4" xfId="0" applyFont="1" applyBorder="1" applyAlignment="1">
      <alignment horizontal="right"/>
    </xf>
    <xf numFmtId="166" fontId="25" fillId="3" borderId="4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26" fillId="0" borderId="0" xfId="0" applyFont="1" applyAlignment="1">
      <alignment horizontal="center" vertical="center"/>
    </xf>
    <xf numFmtId="166" fontId="25" fillId="0" borderId="4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28" fillId="0" borderId="0" xfId="0" applyFont="1"/>
    <xf numFmtId="0" fontId="11" fillId="3" borderId="0" xfId="0" applyFont="1" applyFill="1"/>
    <xf numFmtId="0" fontId="10" fillId="3" borderId="0" xfId="0" applyFont="1" applyFill="1"/>
    <xf numFmtId="0" fontId="9" fillId="6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/>
    <xf numFmtId="0" fontId="31" fillId="0" borderId="4" xfId="0" applyFont="1" applyBorder="1" applyAlignment="1"/>
    <xf numFmtId="0" fontId="30" fillId="0" borderId="4" xfId="0" applyFont="1" applyBorder="1" applyAlignment="1"/>
    <xf numFmtId="0" fontId="31" fillId="0" borderId="0" xfId="0" applyFont="1" applyAlignment="1"/>
    <xf numFmtId="49" fontId="30" fillId="3" borderId="0" xfId="0" applyNumberFormat="1" applyFont="1" applyFill="1" applyAlignment="1"/>
    <xf numFmtId="0" fontId="30" fillId="3" borderId="0" xfId="0" applyFont="1" applyFill="1" applyAlignment="1"/>
    <xf numFmtId="0" fontId="30" fillId="3" borderId="0" xfId="0" applyFont="1" applyFill="1"/>
    <xf numFmtId="0" fontId="30" fillId="0" borderId="4" xfId="0" applyFont="1" applyBorder="1"/>
    <xf numFmtId="0" fontId="34" fillId="4" borderId="4" xfId="0" applyFont="1" applyFill="1" applyBorder="1"/>
    <xf numFmtId="0" fontId="30" fillId="3" borderId="0" xfId="0" applyFont="1" applyFill="1"/>
    <xf numFmtId="49" fontId="33" fillId="0" borderId="4" xfId="0" applyNumberFormat="1" applyFont="1" applyBorder="1" applyAlignment="1">
      <alignment horizontal="center"/>
    </xf>
    <xf numFmtId="49" fontId="33" fillId="5" borderId="4" xfId="0" applyNumberFormat="1" applyFont="1" applyFill="1" applyBorder="1" applyAlignment="1">
      <alignment horizontal="center" wrapText="1"/>
    </xf>
    <xf numFmtId="0" fontId="33" fillId="6" borderId="4" xfId="0" applyFont="1" applyFill="1" applyBorder="1" applyAlignment="1">
      <alignment horizontal="center" wrapText="1"/>
    </xf>
    <xf numFmtId="0" fontId="35" fillId="4" borderId="4" xfId="0" applyFont="1" applyFill="1" applyBorder="1" applyAlignment="1">
      <alignment horizontal="center"/>
    </xf>
    <xf numFmtId="0" fontId="36" fillId="0" borderId="4" xfId="0" applyFont="1" applyBorder="1" applyAlignment="1">
      <alignment horizontal="center" wrapText="1"/>
    </xf>
    <xf numFmtId="0" fontId="29" fillId="5" borderId="4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164" fontId="37" fillId="0" borderId="4" xfId="0" applyNumberFormat="1" applyFont="1" applyBorder="1" applyAlignment="1">
      <alignment horizontal="center"/>
    </xf>
    <xf numFmtId="0" fontId="38" fillId="0" borderId="4" xfId="0" applyFont="1" applyBorder="1" applyAlignment="1">
      <alignment horizontal="right"/>
    </xf>
    <xf numFmtId="166" fontId="39" fillId="0" borderId="4" xfId="0" applyNumberFormat="1" applyFont="1" applyBorder="1" applyAlignment="1">
      <alignment horizontal="center"/>
    </xf>
    <xf numFmtId="166" fontId="40" fillId="3" borderId="4" xfId="0" applyNumberFormat="1" applyFont="1" applyFill="1" applyBorder="1" applyAlignment="1">
      <alignment horizontal="center"/>
    </xf>
    <xf numFmtId="0" fontId="41" fillId="0" borderId="4" xfId="0" applyFont="1" applyBorder="1" applyAlignment="1">
      <alignment horizontal="right"/>
    </xf>
    <xf numFmtId="166" fontId="42" fillId="3" borderId="4" xfId="0" applyNumberFormat="1" applyFont="1" applyFill="1" applyBorder="1" applyAlignment="1">
      <alignment horizontal="center"/>
    </xf>
    <xf numFmtId="0" fontId="34" fillId="4" borderId="4" xfId="0" applyFont="1" applyFill="1" applyBorder="1" applyAlignment="1"/>
    <xf numFmtId="0" fontId="30" fillId="4" borderId="4" xfId="0" applyFont="1" applyFill="1" applyBorder="1"/>
    <xf numFmtId="0" fontId="43" fillId="0" borderId="4" xfId="0" applyFont="1" applyBorder="1" applyAlignment="1">
      <alignment horizontal="center"/>
    </xf>
    <xf numFmtId="166" fontId="42" fillId="0" borderId="4" xfId="0" applyNumberFormat="1" applyFont="1" applyBorder="1" applyAlignment="1">
      <alignment horizontal="center"/>
    </xf>
    <xf numFmtId="0" fontId="30" fillId="0" borderId="0" xfId="0" applyFont="1" applyAlignment="1"/>
    <xf numFmtId="0" fontId="30" fillId="0" borderId="0" xfId="0" applyFont="1" applyAlignment="1"/>
    <xf numFmtId="49" fontId="45" fillId="0" borderId="0" xfId="0" applyNumberFormat="1" applyFont="1" applyAlignment="1">
      <alignment horizontal="center"/>
    </xf>
    <xf numFmtId="0" fontId="30" fillId="0" borderId="0" xfId="0" applyFont="1"/>
    <xf numFmtId="49" fontId="30" fillId="0" borderId="4" xfId="0" applyNumberFormat="1" applyFont="1" applyBorder="1" applyAlignment="1"/>
    <xf numFmtId="49" fontId="30" fillId="3" borderId="0" xfId="0" applyNumberFormat="1" applyFont="1" applyFill="1" applyAlignment="1"/>
    <xf numFmtId="0" fontId="30" fillId="3" borderId="0" xfId="0" applyFont="1" applyFill="1" applyAlignment="1"/>
    <xf numFmtId="0" fontId="30" fillId="3" borderId="0" xfId="0" applyFont="1" applyFill="1"/>
    <xf numFmtId="0" fontId="30" fillId="0" borderId="4" xfId="0" applyFont="1" applyBorder="1" applyAlignment="1"/>
    <xf numFmtId="0" fontId="30" fillId="0" borderId="4" xfId="0" applyFont="1" applyBorder="1"/>
    <xf numFmtId="0" fontId="46" fillId="4" borderId="4" xfId="0" applyFont="1" applyFill="1" applyBorder="1"/>
    <xf numFmtId="49" fontId="46" fillId="0" borderId="4" xfId="0" applyNumberFormat="1" applyFont="1" applyBorder="1" applyAlignment="1">
      <alignment horizontal="center"/>
    </xf>
    <xf numFmtId="49" fontId="46" fillId="5" borderId="4" xfId="0" applyNumberFormat="1" applyFont="1" applyFill="1" applyBorder="1" applyAlignment="1">
      <alignment horizontal="center" wrapText="1"/>
    </xf>
    <xf numFmtId="0" fontId="46" fillId="7" borderId="4" xfId="0" applyFont="1" applyFill="1" applyBorder="1" applyAlignment="1">
      <alignment horizontal="center" wrapText="1"/>
    </xf>
    <xf numFmtId="3" fontId="46" fillId="4" borderId="4" xfId="0" applyNumberFormat="1" applyFont="1" applyFill="1" applyBorder="1" applyAlignment="1">
      <alignment horizontal="center"/>
    </xf>
    <xf numFmtId="0" fontId="45" fillId="5" borderId="4" xfId="0" applyFont="1" applyFill="1" applyBorder="1" applyAlignment="1">
      <alignment horizontal="center"/>
    </xf>
    <xf numFmtId="0" fontId="45" fillId="7" borderId="4" xfId="0" applyFont="1" applyFill="1" applyBorder="1" applyAlignment="1">
      <alignment horizontal="center"/>
    </xf>
    <xf numFmtId="164" fontId="45" fillId="0" borderId="4" xfId="0" applyNumberFormat="1" applyFont="1" applyBorder="1" applyAlignment="1">
      <alignment horizontal="center"/>
    </xf>
    <xf numFmtId="0" fontId="30" fillId="0" borderId="4" xfId="0" applyFont="1" applyBorder="1" applyAlignment="1"/>
    <xf numFmtId="166" fontId="47" fillId="0" borderId="4" xfId="0" applyNumberFormat="1" applyFont="1" applyBorder="1" applyAlignment="1">
      <alignment horizontal="center"/>
    </xf>
    <xf numFmtId="166" fontId="47" fillId="3" borderId="4" xfId="0" applyNumberFormat="1" applyFont="1" applyFill="1" applyBorder="1" applyAlignment="1">
      <alignment horizontal="center"/>
    </xf>
    <xf numFmtId="166" fontId="48" fillId="3" borderId="4" xfId="0" applyNumberFormat="1" applyFont="1" applyFill="1" applyBorder="1" applyAlignment="1">
      <alignment horizontal="center"/>
    </xf>
    <xf numFmtId="0" fontId="30" fillId="0" borderId="0" xfId="0" applyFont="1" applyAlignment="1"/>
    <xf numFmtId="0" fontId="30" fillId="4" borderId="4" xfId="0" applyFont="1" applyFill="1" applyBorder="1"/>
    <xf numFmtId="49" fontId="49" fillId="0" borderId="4" xfId="0" applyNumberFormat="1" applyFont="1" applyBorder="1" applyAlignment="1">
      <alignment horizontal="center"/>
    </xf>
    <xf numFmtId="166" fontId="48" fillId="0" borderId="4" xfId="0" applyNumberFormat="1" applyFont="1" applyBorder="1" applyAlignment="1">
      <alignment horizontal="center"/>
    </xf>
    <xf numFmtId="0" fontId="30" fillId="0" borderId="4" xfId="0" applyFont="1" applyBorder="1"/>
    <xf numFmtId="0" fontId="46" fillId="11" borderId="4" xfId="0" applyFont="1" applyFill="1" applyBorder="1" applyAlignment="1">
      <alignment horizontal="center" wrapText="1"/>
    </xf>
    <xf numFmtId="0" fontId="46" fillId="4" borderId="4" xfId="0" applyFont="1" applyFill="1" applyBorder="1" applyAlignment="1">
      <alignment horizontal="center"/>
    </xf>
    <xf numFmtId="0" fontId="45" fillId="11" borderId="4" xfId="0" applyFont="1" applyFill="1" applyBorder="1" applyAlignment="1">
      <alignment horizontal="center"/>
    </xf>
    <xf numFmtId="0" fontId="49" fillId="0" borderId="4" xfId="0" applyFont="1" applyBorder="1" applyAlignment="1">
      <alignment horizontal="center"/>
    </xf>
    <xf numFmtId="166" fontId="30" fillId="0" borderId="0" xfId="0" applyNumberFormat="1" applyFont="1"/>
    <xf numFmtId="0" fontId="45" fillId="0" borderId="4" xfId="0" applyFont="1" applyBorder="1" applyAlignment="1"/>
    <xf numFmtId="166" fontId="30" fillId="0" borderId="4" xfId="0" applyNumberFormat="1" applyFont="1" applyBorder="1"/>
    <xf numFmtId="166" fontId="30" fillId="0" borderId="0" xfId="0" applyNumberFormat="1" applyFont="1" applyAlignment="1"/>
    <xf numFmtId="49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50" fillId="3" borderId="0" xfId="0" applyFont="1" applyFill="1" applyAlignment="1"/>
    <xf numFmtId="0" fontId="51" fillId="0" borderId="0" xfId="0" applyFont="1"/>
    <xf numFmtId="164" fontId="10" fillId="0" borderId="4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wrapText="1"/>
    </xf>
    <xf numFmtId="0" fontId="10" fillId="12" borderId="4" xfId="0" applyFont="1" applyFill="1" applyBorder="1" applyAlignment="1">
      <alignment horizontal="center"/>
    </xf>
    <xf numFmtId="49" fontId="10" fillId="12" borderId="4" xfId="0" applyNumberFormat="1" applyFont="1" applyFill="1" applyBorder="1" applyAlignment="1">
      <alignment horizontal="center"/>
    </xf>
    <xf numFmtId="0" fontId="10" fillId="12" borderId="4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/>
    </xf>
    <xf numFmtId="0" fontId="11" fillId="3" borderId="5" xfId="0" applyFont="1" applyFill="1" applyBorder="1"/>
    <xf numFmtId="49" fontId="9" fillId="13" borderId="4" xfId="0" applyNumberFormat="1" applyFont="1" applyFill="1" applyBorder="1" applyAlignment="1">
      <alignment horizontal="center" wrapText="1"/>
    </xf>
    <xf numFmtId="0" fontId="10" fillId="13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1" fillId="12" borderId="4" xfId="0" applyFont="1" applyFill="1" applyBorder="1"/>
    <xf numFmtId="0" fontId="10" fillId="0" borderId="4" xfId="0" applyFont="1" applyBorder="1"/>
    <xf numFmtId="0" fontId="18" fillId="0" borderId="0" xfId="0" applyFont="1" applyAlignment="1"/>
    <xf numFmtId="0" fontId="10" fillId="14" borderId="4" xfId="0" applyFont="1" applyFill="1" applyBorder="1" applyAlignment="1">
      <alignment horizontal="center"/>
    </xf>
    <xf numFmtId="49" fontId="10" fillId="14" borderId="4" xfId="0" applyNumberFormat="1" applyFont="1" applyFill="1" applyBorder="1" applyAlignment="1">
      <alignment horizontal="center"/>
    </xf>
    <xf numFmtId="0" fontId="10" fillId="14" borderId="4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2" fillId="0" borderId="0" xfId="0" applyFont="1"/>
    <xf numFmtId="0" fontId="11" fillId="14" borderId="4" xfId="0" applyFont="1" applyFill="1" applyBorder="1"/>
    <xf numFmtId="164" fontId="10" fillId="3" borderId="4" xfId="0" applyNumberFormat="1" applyFont="1" applyFill="1" applyBorder="1" applyAlignment="1">
      <alignment vertical="center"/>
    </xf>
    <xf numFmtId="164" fontId="10" fillId="3" borderId="4" xfId="0" applyNumberFormat="1" applyFont="1" applyFill="1" applyBorder="1" applyAlignment="1">
      <alignment vertical="center"/>
    </xf>
    <xf numFmtId="0" fontId="5" fillId="0" borderId="9" xfId="0" applyFont="1" applyBorder="1" applyAlignment="1"/>
    <xf numFmtId="0" fontId="5" fillId="0" borderId="9" xfId="0" applyFont="1" applyBorder="1"/>
    <xf numFmtId="0" fontId="5" fillId="0" borderId="0" xfId="0" applyFont="1" applyAlignment="1"/>
    <xf numFmtId="49" fontId="53" fillId="0" borderId="8" xfId="0" applyNumberFormat="1" applyFont="1" applyBorder="1" applyAlignment="1">
      <alignment horizontal="center" wrapText="1"/>
    </xf>
    <xf numFmtId="0" fontId="5" fillId="14" borderId="10" xfId="0" applyFont="1" applyFill="1" applyBorder="1" applyAlignment="1"/>
    <xf numFmtId="49" fontId="5" fillId="14" borderId="10" xfId="0" applyNumberFormat="1" applyFont="1" applyFill="1" applyBorder="1" applyAlignment="1"/>
    <xf numFmtId="0" fontId="5" fillId="14" borderId="10" xfId="0" applyFont="1" applyFill="1" applyBorder="1"/>
    <xf numFmtId="49" fontId="53" fillId="0" borderId="8" xfId="0" applyNumberFormat="1" applyFont="1" applyBorder="1" applyAlignment="1">
      <alignment horizontal="center"/>
    </xf>
    <xf numFmtId="49" fontId="53" fillId="13" borderId="10" xfId="0" applyNumberFormat="1" applyFont="1" applyFill="1" applyBorder="1" applyAlignment="1">
      <alignment horizontal="center" wrapText="1"/>
    </xf>
    <xf numFmtId="0" fontId="5" fillId="13" borderId="10" xfId="0" applyFont="1" applyFill="1" applyBorder="1" applyAlignment="1"/>
    <xf numFmtId="0" fontId="53" fillId="0" borderId="10" xfId="0" applyFont="1" applyBorder="1" applyAlignment="1">
      <alignment horizontal="center"/>
    </xf>
    <xf numFmtId="0" fontId="37" fillId="4" borderId="8" xfId="0" applyFont="1" applyFill="1" applyBorder="1" applyAlignment="1">
      <alignment horizontal="center" wrapText="1"/>
    </xf>
    <xf numFmtId="164" fontId="37" fillId="0" borderId="10" xfId="0" applyNumberFormat="1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5" fillId="0" borderId="0" xfId="0" applyFont="1"/>
    <xf numFmtId="0" fontId="54" fillId="0" borderId="9" xfId="0" applyFont="1" applyBorder="1" applyAlignment="1">
      <alignment horizontal="center"/>
    </xf>
    <xf numFmtId="0" fontId="5" fillId="0" borderId="10" xfId="0" applyFont="1" applyBorder="1" applyAlignment="1"/>
    <xf numFmtId="164" fontId="55" fillId="3" borderId="10" xfId="0" applyNumberFormat="1" applyFont="1" applyFill="1" applyBorder="1" applyAlignment="1">
      <alignment horizontal="center"/>
    </xf>
    <xf numFmtId="164" fontId="5" fillId="0" borderId="0" xfId="0" applyNumberFormat="1" applyFont="1"/>
    <xf numFmtId="0" fontId="5" fillId="0" borderId="0" xfId="0" applyFont="1" applyAlignment="1"/>
    <xf numFmtId="0" fontId="0" fillId="0" borderId="0" xfId="0" applyFont="1" applyAlignment="1"/>
    <xf numFmtId="49" fontId="2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center" wrapText="1"/>
    </xf>
    <xf numFmtId="0" fontId="3" fillId="0" borderId="7" xfId="0" applyFont="1" applyBorder="1"/>
    <xf numFmtId="0" fontId="3" fillId="0" borderId="8" xfId="0" applyFont="1" applyBorder="1"/>
    <xf numFmtId="49" fontId="9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49" fontId="32" fillId="2" borderId="1" xfId="0" applyNumberFormat="1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 wrapText="1"/>
    </xf>
    <xf numFmtId="0" fontId="33" fillId="8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/>
    </xf>
    <xf numFmtId="49" fontId="45" fillId="0" borderId="6" xfId="0" applyNumberFormat="1" applyFont="1" applyBorder="1" applyAlignment="1">
      <alignment horizontal="center" wrapText="1"/>
    </xf>
    <xf numFmtId="0" fontId="9" fillId="4" borderId="1" xfId="0" applyFont="1" applyFill="1" applyBorder="1" applyAlignment="1">
      <alignment horizontal="left" vertical="center"/>
    </xf>
    <xf numFmtId="0" fontId="45" fillId="3" borderId="0" xfId="0" applyFont="1" applyFill="1" applyAlignment="1">
      <alignment horizontal="center"/>
    </xf>
    <xf numFmtId="49" fontId="44" fillId="10" borderId="0" xfId="0" applyNumberFormat="1" applyFont="1" applyFill="1" applyAlignment="1">
      <alignment horizontal="center"/>
    </xf>
    <xf numFmtId="49" fontId="45" fillId="0" borderId="0" xfId="0" applyNumberFormat="1" applyFont="1" applyAlignment="1">
      <alignment horizontal="center"/>
    </xf>
    <xf numFmtId="49" fontId="32" fillId="2" borderId="1" xfId="0" applyNumberFormat="1" applyFont="1" applyFill="1" applyBorder="1" applyAlignment="1">
      <alignment horizontal="center" wrapText="1"/>
    </xf>
    <xf numFmtId="0" fontId="53" fillId="13" borderId="11" xfId="0" applyFont="1" applyFill="1" applyBorder="1" applyAlignment="1">
      <alignment horizontal="center"/>
    </xf>
    <xf numFmtId="0" fontId="3" fillId="0" borderId="10" xfId="0" applyFont="1" applyBorder="1"/>
    <xf numFmtId="49" fontId="9" fillId="0" borderId="0" xfId="0" applyNumberFormat="1" applyFont="1" applyAlignment="1">
      <alignment horizontal="center"/>
    </xf>
    <xf numFmtId="0" fontId="9" fillId="1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workbookViewId="0">
      <selection sqref="A1:P1"/>
    </sheetView>
  </sheetViews>
  <sheetFormatPr defaultColWidth="14.42578125" defaultRowHeight="15" customHeight="1"/>
  <cols>
    <col min="1" max="1" width="18.140625" customWidth="1"/>
    <col min="2" max="2" width="6.7109375" customWidth="1"/>
    <col min="3" max="3" width="8.42578125" customWidth="1"/>
    <col min="4" max="19" width="8.5703125" customWidth="1"/>
  </cols>
  <sheetData>
    <row r="1" spans="1:26">
      <c r="A1" s="205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9"/>
      <c r="R1" s="9"/>
      <c r="S1" s="9"/>
      <c r="T1" s="10"/>
      <c r="U1" s="10"/>
      <c r="V1" s="10"/>
      <c r="W1" s="10"/>
      <c r="X1" s="10"/>
      <c r="Y1" s="10"/>
      <c r="Z1" s="10"/>
    </row>
    <row r="2" spans="1:26">
      <c r="A2" s="11"/>
      <c r="B2" s="10"/>
      <c r="C2" s="10"/>
      <c r="D2" s="12"/>
      <c r="E2" s="10"/>
      <c r="F2" s="10"/>
      <c r="G2" s="12"/>
      <c r="H2" s="10"/>
      <c r="I2" s="11"/>
      <c r="J2" s="10"/>
      <c r="K2" s="9"/>
      <c r="L2" s="9"/>
      <c r="M2" s="9"/>
      <c r="N2" s="9"/>
      <c r="O2" s="9"/>
      <c r="P2" s="11"/>
      <c r="Q2" s="9"/>
      <c r="R2" s="9"/>
      <c r="S2" s="9"/>
      <c r="T2" s="10"/>
      <c r="U2" s="10"/>
      <c r="V2" s="10"/>
      <c r="W2" s="10"/>
      <c r="X2" s="10"/>
      <c r="Y2" s="10"/>
      <c r="Z2" s="10"/>
    </row>
    <row r="3" spans="1:26">
      <c r="A3" s="199" t="s">
        <v>1</v>
      </c>
      <c r="B3" s="200"/>
      <c r="C3" s="201"/>
      <c r="D3" s="13"/>
      <c r="E3" s="14"/>
      <c r="F3" s="14"/>
      <c r="G3" s="14"/>
      <c r="H3" s="14"/>
      <c r="I3" s="14"/>
      <c r="J3" s="14"/>
      <c r="K3" s="15"/>
      <c r="L3" s="15"/>
      <c r="M3" s="15"/>
      <c r="N3" s="15"/>
      <c r="O3" s="15"/>
      <c r="P3" s="15"/>
      <c r="Q3" s="15"/>
      <c r="R3" s="15"/>
      <c r="S3" s="16"/>
      <c r="T3" s="10"/>
      <c r="U3" s="10"/>
      <c r="V3" s="10"/>
      <c r="W3" s="10"/>
      <c r="X3" s="10"/>
      <c r="Y3" s="10"/>
      <c r="Z3" s="10"/>
    </row>
    <row r="4" spans="1:26">
      <c r="A4" s="202" t="s">
        <v>2</v>
      </c>
      <c r="B4" s="200"/>
      <c r="C4" s="201"/>
      <c r="D4" s="17"/>
      <c r="E4" s="18"/>
      <c r="F4" s="18"/>
      <c r="G4" s="17"/>
      <c r="H4" s="18"/>
      <c r="I4" s="18"/>
      <c r="J4" s="18"/>
      <c r="K4" s="9"/>
      <c r="L4" s="9"/>
      <c r="M4" s="9"/>
      <c r="N4" s="9"/>
      <c r="O4" s="9"/>
      <c r="P4" s="9"/>
      <c r="Q4" s="9"/>
      <c r="R4" s="9"/>
      <c r="S4" s="9"/>
      <c r="T4" s="10"/>
      <c r="U4" s="10"/>
      <c r="V4" s="10"/>
      <c r="W4" s="10"/>
      <c r="X4" s="10"/>
      <c r="Y4" s="10"/>
      <c r="Z4" s="10"/>
    </row>
    <row r="5" spans="1:26">
      <c r="A5" s="19"/>
      <c r="B5" s="20"/>
      <c r="C5" s="21"/>
      <c r="D5" s="22" t="s">
        <v>12</v>
      </c>
      <c r="E5" s="22"/>
      <c r="F5" s="22"/>
      <c r="G5" s="22"/>
      <c r="H5" s="22"/>
      <c r="I5" s="22"/>
      <c r="J5" s="22"/>
      <c r="K5" s="22"/>
      <c r="L5" s="22"/>
      <c r="M5" s="23"/>
      <c r="N5" s="24"/>
      <c r="O5" s="24"/>
      <c r="P5" s="24"/>
      <c r="Q5" s="24"/>
      <c r="R5" s="24"/>
      <c r="S5" s="25"/>
      <c r="T5" s="10"/>
      <c r="U5" s="10"/>
      <c r="V5" s="10"/>
      <c r="W5" s="10"/>
      <c r="X5" s="10"/>
      <c r="Y5" s="10"/>
      <c r="Z5" s="10"/>
    </row>
    <row r="6" spans="1:26">
      <c r="A6" s="26" t="s">
        <v>3</v>
      </c>
      <c r="B6" s="27" t="s">
        <v>4</v>
      </c>
      <c r="C6" s="28" t="s">
        <v>5</v>
      </c>
      <c r="D6" s="29">
        <v>0</v>
      </c>
      <c r="E6" s="29">
        <v>1</v>
      </c>
      <c r="F6" s="29">
        <v>2</v>
      </c>
      <c r="G6" s="29">
        <v>3</v>
      </c>
      <c r="H6" s="29">
        <v>4</v>
      </c>
      <c r="I6" s="29">
        <v>5</v>
      </c>
      <c r="J6" s="29">
        <v>6</v>
      </c>
      <c r="K6" s="29">
        <v>7</v>
      </c>
      <c r="L6" s="29">
        <v>8</v>
      </c>
      <c r="M6" s="29">
        <v>9</v>
      </c>
      <c r="N6" s="30">
        <v>10</v>
      </c>
      <c r="O6" s="30">
        <v>11</v>
      </c>
      <c r="P6" s="30">
        <v>12</v>
      </c>
      <c r="Q6" s="30">
        <v>13</v>
      </c>
      <c r="R6" s="30">
        <v>14</v>
      </c>
      <c r="S6" s="30">
        <v>15</v>
      </c>
      <c r="T6" s="10"/>
      <c r="U6" s="10"/>
      <c r="V6" s="10"/>
      <c r="W6" s="10"/>
      <c r="X6" s="10"/>
      <c r="Y6" s="10"/>
      <c r="Z6" s="10"/>
    </row>
    <row r="7" spans="1:26">
      <c r="A7" s="31" t="s">
        <v>13</v>
      </c>
      <c r="B7" s="32">
        <v>7</v>
      </c>
      <c r="C7" s="33" t="s">
        <v>7</v>
      </c>
      <c r="D7" s="34">
        <f>11200*1.075</f>
        <v>12040</v>
      </c>
      <c r="E7" s="35">
        <f>11350*1.075</f>
        <v>12201.25</v>
      </c>
      <c r="F7" s="35">
        <f>11500*1.075</f>
        <v>12362.5</v>
      </c>
      <c r="G7" s="35">
        <f>11750*1.075</f>
        <v>12631.25</v>
      </c>
      <c r="H7" s="35">
        <f>11850*1.075</f>
        <v>12738.75</v>
      </c>
      <c r="I7" s="35">
        <f>12000*1.075</f>
        <v>12900</v>
      </c>
      <c r="J7" s="35">
        <f>12100*1.075</f>
        <v>13007.5</v>
      </c>
      <c r="K7" s="35">
        <f>12250*1.075</f>
        <v>13168.75</v>
      </c>
      <c r="L7" s="35">
        <f>12350*1.075</f>
        <v>13276.25</v>
      </c>
      <c r="M7" s="35">
        <f>12500*1.075</f>
        <v>13437.5</v>
      </c>
      <c r="N7" s="35">
        <f>12650*1.075</f>
        <v>13598.75</v>
      </c>
      <c r="O7" s="35">
        <f>12750*1.075</f>
        <v>13706.25</v>
      </c>
      <c r="P7" s="35">
        <f>12900*1.075</f>
        <v>13867.5</v>
      </c>
      <c r="Q7" s="35">
        <f>13000*1.075</f>
        <v>13975</v>
      </c>
      <c r="R7" s="35">
        <f>13150*1.075</f>
        <v>14136.25</v>
      </c>
      <c r="S7" s="35">
        <f>13350*1.075</f>
        <v>14351.25</v>
      </c>
      <c r="T7" s="10"/>
      <c r="U7" s="10"/>
      <c r="V7" s="10"/>
      <c r="W7" s="10"/>
      <c r="X7" s="10"/>
      <c r="Y7" s="10"/>
      <c r="Z7" s="10"/>
    </row>
    <row r="8" spans="1:26">
      <c r="A8" s="36" t="s">
        <v>14</v>
      </c>
      <c r="B8" s="37"/>
      <c r="C8" s="37"/>
      <c r="D8" s="38">
        <f t="shared" ref="D8:S8" si="0">D7/200</f>
        <v>60.2</v>
      </c>
      <c r="E8" s="39">
        <f t="shared" si="0"/>
        <v>61.006250000000001</v>
      </c>
      <c r="F8" s="39">
        <f t="shared" si="0"/>
        <v>61.8125</v>
      </c>
      <c r="G8" s="39">
        <f t="shared" si="0"/>
        <v>63.15625</v>
      </c>
      <c r="H8" s="39">
        <f t="shared" si="0"/>
        <v>63.693750000000001</v>
      </c>
      <c r="I8" s="39">
        <f t="shared" si="0"/>
        <v>64.5</v>
      </c>
      <c r="J8" s="39">
        <f t="shared" si="0"/>
        <v>65.037499999999994</v>
      </c>
      <c r="K8" s="39">
        <f t="shared" si="0"/>
        <v>65.84375</v>
      </c>
      <c r="L8" s="39">
        <f t="shared" si="0"/>
        <v>66.381249999999994</v>
      </c>
      <c r="M8" s="39">
        <f t="shared" si="0"/>
        <v>67.1875</v>
      </c>
      <c r="N8" s="39">
        <f t="shared" si="0"/>
        <v>67.993750000000006</v>
      </c>
      <c r="O8" s="39">
        <f t="shared" si="0"/>
        <v>68.53125</v>
      </c>
      <c r="P8" s="39">
        <f t="shared" si="0"/>
        <v>69.337500000000006</v>
      </c>
      <c r="Q8" s="39">
        <f t="shared" si="0"/>
        <v>69.875</v>
      </c>
      <c r="R8" s="39">
        <f t="shared" si="0"/>
        <v>70.681250000000006</v>
      </c>
      <c r="S8" s="39">
        <f t="shared" si="0"/>
        <v>71.756249999999994</v>
      </c>
      <c r="T8" s="10"/>
      <c r="U8" s="10"/>
      <c r="V8" s="10"/>
      <c r="W8" s="10"/>
      <c r="X8" s="10"/>
      <c r="Y8" s="10"/>
      <c r="Z8" s="10"/>
    </row>
    <row r="9" spans="1:26">
      <c r="A9" s="40" t="s">
        <v>15</v>
      </c>
      <c r="B9" s="37"/>
      <c r="C9" s="37"/>
      <c r="D9" s="41">
        <f t="shared" ref="D9:S9" si="1">D8/7</f>
        <v>8.6</v>
      </c>
      <c r="E9" s="41">
        <f t="shared" si="1"/>
        <v>8.7151785714285719</v>
      </c>
      <c r="F9" s="41">
        <f t="shared" si="1"/>
        <v>8.8303571428571423</v>
      </c>
      <c r="G9" s="41">
        <f t="shared" si="1"/>
        <v>9.0223214285714288</v>
      </c>
      <c r="H9" s="41">
        <f t="shared" si="1"/>
        <v>9.0991071428571431</v>
      </c>
      <c r="I9" s="41">
        <f t="shared" si="1"/>
        <v>9.2142857142857135</v>
      </c>
      <c r="J9" s="41">
        <f t="shared" si="1"/>
        <v>9.2910714285714278</v>
      </c>
      <c r="K9" s="41">
        <f t="shared" si="1"/>
        <v>9.40625</v>
      </c>
      <c r="L9" s="41">
        <f t="shared" si="1"/>
        <v>9.4830357142857142</v>
      </c>
      <c r="M9" s="41">
        <f t="shared" si="1"/>
        <v>9.5982142857142865</v>
      </c>
      <c r="N9" s="41">
        <f t="shared" si="1"/>
        <v>9.7133928571428587</v>
      </c>
      <c r="O9" s="41">
        <f t="shared" si="1"/>
        <v>9.7901785714285712</v>
      </c>
      <c r="P9" s="41">
        <f t="shared" si="1"/>
        <v>9.9053571428571434</v>
      </c>
      <c r="Q9" s="41">
        <f t="shared" si="1"/>
        <v>9.9821428571428577</v>
      </c>
      <c r="R9" s="42">
        <f t="shared" si="1"/>
        <v>10.09732142857143</v>
      </c>
      <c r="S9" s="41">
        <f t="shared" si="1"/>
        <v>10.250892857142857</v>
      </c>
      <c r="T9" s="10"/>
      <c r="U9" s="10"/>
      <c r="V9" s="10"/>
      <c r="W9" s="10"/>
      <c r="X9" s="10"/>
      <c r="Y9" s="10"/>
      <c r="Z9" s="10"/>
    </row>
    <row r="10" spans="1:26">
      <c r="A10" s="10"/>
      <c r="B10" s="10"/>
      <c r="C10" s="10"/>
      <c r="D10" s="23" t="s">
        <v>16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  <c r="S10" s="43"/>
      <c r="T10" s="10"/>
      <c r="U10" s="10"/>
      <c r="V10" s="10"/>
      <c r="W10" s="10"/>
      <c r="X10" s="10"/>
      <c r="Y10" s="10"/>
      <c r="Z10" s="10"/>
    </row>
    <row r="11" spans="1:26">
      <c r="A11" s="44" t="s">
        <v>17</v>
      </c>
      <c r="B11" s="10"/>
      <c r="C11" s="10"/>
      <c r="D11" s="29">
        <v>16</v>
      </c>
      <c r="E11" s="29">
        <v>17</v>
      </c>
      <c r="F11" s="29">
        <v>18</v>
      </c>
      <c r="G11" s="29">
        <v>19</v>
      </c>
      <c r="H11" s="29">
        <v>20</v>
      </c>
      <c r="I11" s="29">
        <v>21</v>
      </c>
      <c r="J11" s="29">
        <v>22</v>
      </c>
      <c r="K11" s="29">
        <v>23</v>
      </c>
      <c r="L11" s="29">
        <v>24</v>
      </c>
      <c r="M11" s="29">
        <v>25</v>
      </c>
      <c r="N11" s="29">
        <v>26</v>
      </c>
      <c r="O11" s="29">
        <v>27</v>
      </c>
      <c r="P11" s="29">
        <v>28</v>
      </c>
      <c r="Q11" s="29">
        <v>29</v>
      </c>
      <c r="R11" s="30">
        <v>30</v>
      </c>
      <c r="S11" s="10"/>
      <c r="T11" s="10"/>
      <c r="U11" s="10"/>
      <c r="V11" s="10"/>
      <c r="W11" s="10"/>
      <c r="X11" s="10"/>
      <c r="Y11" s="10"/>
      <c r="Z11" s="10"/>
    </row>
    <row r="12" spans="1:26">
      <c r="A12" s="31" t="s">
        <v>13</v>
      </c>
      <c r="B12" s="37"/>
      <c r="C12" s="37"/>
      <c r="D12" s="34">
        <f>13500*1.075</f>
        <v>14512.5</v>
      </c>
      <c r="E12" s="35">
        <f>13600*1.075</f>
        <v>14620</v>
      </c>
      <c r="F12" s="35">
        <f>13750*1.075</f>
        <v>14781.25</v>
      </c>
      <c r="G12" s="35">
        <f>13850*1.075</f>
        <v>14888.75</v>
      </c>
      <c r="H12" s="35">
        <f>14000*1.075</f>
        <v>15050</v>
      </c>
      <c r="I12" s="35">
        <f>14150*1.075</f>
        <v>15211.25</v>
      </c>
      <c r="J12" s="35">
        <f>14350*1.075</f>
        <v>15426.25</v>
      </c>
      <c r="K12" s="35">
        <f>14550*1.075</f>
        <v>15641.25</v>
      </c>
      <c r="L12" s="35">
        <f>14650*1.075</f>
        <v>15748.75</v>
      </c>
      <c r="M12" s="35">
        <f>14750*1.075</f>
        <v>15856.25</v>
      </c>
      <c r="N12" s="35">
        <f>14850*1.075</f>
        <v>15963.75</v>
      </c>
      <c r="O12" s="35">
        <f>15000*1.075</f>
        <v>16125</v>
      </c>
      <c r="P12" s="35">
        <f>15250*1.075</f>
        <v>16393.75</v>
      </c>
      <c r="Q12" s="35">
        <f>15500*1.075</f>
        <v>16662.5</v>
      </c>
      <c r="R12" s="35">
        <f>16000*1.075</f>
        <v>17200</v>
      </c>
      <c r="S12" s="10"/>
      <c r="T12" s="10"/>
      <c r="U12" s="10"/>
      <c r="V12" s="10"/>
      <c r="W12" s="10"/>
      <c r="X12" s="10"/>
      <c r="Y12" s="10"/>
      <c r="Z12" s="10"/>
    </row>
    <row r="13" spans="1:26">
      <c r="A13" s="36" t="s">
        <v>14</v>
      </c>
      <c r="B13" s="37"/>
      <c r="C13" s="37"/>
      <c r="D13" s="39">
        <f t="shared" ref="D13:R13" si="2">D12/200</f>
        <v>72.5625</v>
      </c>
      <c r="E13" s="39">
        <f t="shared" si="2"/>
        <v>73.099999999999994</v>
      </c>
      <c r="F13" s="39">
        <f t="shared" si="2"/>
        <v>73.90625</v>
      </c>
      <c r="G13" s="39">
        <f t="shared" si="2"/>
        <v>74.443749999999994</v>
      </c>
      <c r="H13" s="39">
        <f t="shared" si="2"/>
        <v>75.25</v>
      </c>
      <c r="I13" s="39">
        <f t="shared" si="2"/>
        <v>76.056250000000006</v>
      </c>
      <c r="J13" s="39">
        <f t="shared" si="2"/>
        <v>77.131249999999994</v>
      </c>
      <c r="K13" s="39">
        <f t="shared" si="2"/>
        <v>78.206249999999997</v>
      </c>
      <c r="L13" s="39">
        <f t="shared" si="2"/>
        <v>78.743750000000006</v>
      </c>
      <c r="M13" s="39">
        <f t="shared" si="2"/>
        <v>79.28125</v>
      </c>
      <c r="N13" s="39">
        <f t="shared" si="2"/>
        <v>79.818749999999994</v>
      </c>
      <c r="O13" s="39">
        <f t="shared" si="2"/>
        <v>80.625</v>
      </c>
      <c r="P13" s="39">
        <f t="shared" si="2"/>
        <v>81.96875</v>
      </c>
      <c r="Q13" s="39">
        <f t="shared" si="2"/>
        <v>83.3125</v>
      </c>
      <c r="R13" s="39">
        <f t="shared" si="2"/>
        <v>86</v>
      </c>
      <c r="S13" s="10"/>
      <c r="T13" s="10"/>
      <c r="U13" s="10"/>
      <c r="V13" s="10"/>
      <c r="W13" s="10"/>
      <c r="X13" s="10"/>
      <c r="Y13" s="10"/>
      <c r="Z13" s="10"/>
    </row>
    <row r="14" spans="1:26">
      <c r="A14" s="40" t="s">
        <v>15</v>
      </c>
      <c r="B14" s="37"/>
      <c r="C14" s="37"/>
      <c r="D14" s="45">
        <f t="shared" ref="D14:R14" si="3">D13/7</f>
        <v>10.366071428571429</v>
      </c>
      <c r="E14" s="45">
        <f t="shared" si="3"/>
        <v>10.442857142857141</v>
      </c>
      <c r="F14" s="45">
        <f t="shared" si="3"/>
        <v>10.558035714285714</v>
      </c>
      <c r="G14" s="45">
        <f t="shared" si="3"/>
        <v>10.634821428571428</v>
      </c>
      <c r="H14" s="45">
        <f t="shared" si="3"/>
        <v>10.75</v>
      </c>
      <c r="I14" s="45">
        <f t="shared" si="3"/>
        <v>10.865178571428572</v>
      </c>
      <c r="J14" s="45">
        <f t="shared" si="3"/>
        <v>11.018749999999999</v>
      </c>
      <c r="K14" s="45">
        <f t="shared" si="3"/>
        <v>11.172321428571427</v>
      </c>
      <c r="L14" s="45">
        <f t="shared" si="3"/>
        <v>11.249107142857143</v>
      </c>
      <c r="M14" s="45">
        <f t="shared" si="3"/>
        <v>11.325892857142858</v>
      </c>
      <c r="N14" s="45">
        <f t="shared" si="3"/>
        <v>11.40267857142857</v>
      </c>
      <c r="O14" s="45">
        <f t="shared" si="3"/>
        <v>11.517857142857142</v>
      </c>
      <c r="P14" s="45">
        <f t="shared" si="3"/>
        <v>11.709821428571429</v>
      </c>
      <c r="Q14" s="45">
        <f t="shared" si="3"/>
        <v>11.901785714285714</v>
      </c>
      <c r="R14" s="45">
        <f t="shared" si="3"/>
        <v>12.285714285714286</v>
      </c>
      <c r="S14" s="10"/>
      <c r="T14" s="10"/>
      <c r="U14" s="10"/>
      <c r="V14" s="10"/>
      <c r="W14" s="10"/>
      <c r="X14" s="10"/>
      <c r="Y14" s="10"/>
      <c r="Z14" s="10"/>
    </row>
    <row r="15" spans="1:26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>
      <c r="A17" s="11"/>
      <c r="B17" s="10"/>
      <c r="C17" s="10"/>
      <c r="D17" s="10"/>
      <c r="E17" s="10"/>
      <c r="F17" s="10"/>
      <c r="G17" s="10"/>
      <c r="H17" s="10"/>
      <c r="I17" s="11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3">
    <mergeCell ref="A1:P1"/>
    <mergeCell ref="A3:C3"/>
    <mergeCell ref="A4:C4"/>
  </mergeCells>
  <printOptions horizontalCentered="1" gridLines="1"/>
  <pageMargins left="0.7" right="0.7" top="0.75" bottom="0.75" header="0" footer="0"/>
  <pageSetup scale="77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18.140625" customWidth="1"/>
    <col min="2" max="2" width="6.7109375" customWidth="1"/>
    <col min="3" max="3" width="8.42578125" customWidth="1"/>
    <col min="4" max="19" width="8.5703125" customWidth="1"/>
  </cols>
  <sheetData>
    <row r="1" spans="1:26">
      <c r="A1" s="206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9"/>
      <c r="R1" s="9"/>
      <c r="S1" s="9"/>
      <c r="T1" s="46"/>
      <c r="U1" s="46"/>
      <c r="V1" s="46"/>
      <c r="W1" s="46"/>
      <c r="X1" s="46"/>
      <c r="Y1" s="46"/>
      <c r="Z1" s="46"/>
    </row>
    <row r="2" spans="1:26">
      <c r="A2" s="47"/>
      <c r="B2" s="46"/>
      <c r="C2" s="46"/>
      <c r="D2" s="1"/>
      <c r="E2" s="46"/>
      <c r="F2" s="46"/>
      <c r="G2" s="1"/>
      <c r="H2" s="47"/>
      <c r="I2" s="46"/>
      <c r="J2" s="46"/>
      <c r="K2" s="9"/>
      <c r="L2" s="9"/>
      <c r="M2" s="9"/>
      <c r="N2" s="9"/>
      <c r="O2" s="9"/>
      <c r="P2" s="47"/>
      <c r="Q2" s="9"/>
      <c r="R2" s="9"/>
      <c r="S2" s="9"/>
      <c r="T2" s="46"/>
      <c r="U2" s="46"/>
      <c r="V2" s="46"/>
      <c r="W2" s="46"/>
      <c r="X2" s="46"/>
      <c r="Y2" s="46"/>
      <c r="Z2" s="46"/>
    </row>
    <row r="3" spans="1:26">
      <c r="A3" s="199" t="s">
        <v>1</v>
      </c>
      <c r="B3" s="200"/>
      <c r="C3" s="201"/>
      <c r="D3" s="48"/>
      <c r="E3" s="49"/>
      <c r="F3" s="49"/>
      <c r="G3" s="49"/>
      <c r="H3" s="49"/>
      <c r="I3" s="49"/>
      <c r="J3" s="49"/>
      <c r="K3" s="50"/>
      <c r="L3" s="50"/>
      <c r="M3" s="50"/>
      <c r="N3" s="50"/>
      <c r="O3" s="50"/>
      <c r="P3" s="50"/>
      <c r="Q3" s="50"/>
      <c r="R3" s="50"/>
      <c r="S3" s="51"/>
      <c r="T3" s="46"/>
      <c r="U3" s="46"/>
      <c r="V3" s="46"/>
      <c r="W3" s="46"/>
      <c r="X3" s="46"/>
      <c r="Y3" s="46"/>
      <c r="Z3" s="46"/>
    </row>
    <row r="4" spans="1:26">
      <c r="A4" s="202" t="s">
        <v>2</v>
      </c>
      <c r="B4" s="200"/>
      <c r="C4" s="201"/>
      <c r="D4" s="52"/>
      <c r="E4" s="53"/>
      <c r="F4" s="53"/>
      <c r="G4" s="52"/>
      <c r="H4" s="53"/>
      <c r="I4" s="53"/>
      <c r="J4" s="53"/>
      <c r="K4" s="54"/>
      <c r="L4" s="54"/>
      <c r="M4" s="54"/>
      <c r="N4" s="54"/>
      <c r="O4" s="54"/>
      <c r="P4" s="54"/>
      <c r="Q4" s="54"/>
      <c r="R4" s="54"/>
      <c r="S4" s="54"/>
      <c r="T4" s="46"/>
      <c r="U4" s="46"/>
      <c r="V4" s="46"/>
      <c r="W4" s="46"/>
      <c r="X4" s="46"/>
      <c r="Y4" s="46"/>
      <c r="Z4" s="46"/>
    </row>
    <row r="5" spans="1:26">
      <c r="A5" s="2"/>
      <c r="B5" s="3"/>
      <c r="C5" s="4"/>
      <c r="D5" s="55" t="s">
        <v>18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46"/>
      <c r="U5" s="46"/>
      <c r="V5" s="46"/>
      <c r="W5" s="46"/>
      <c r="X5" s="46"/>
      <c r="Y5" s="46"/>
      <c r="Z5" s="46"/>
    </row>
    <row r="6" spans="1:26">
      <c r="A6" s="5" t="s">
        <v>3</v>
      </c>
      <c r="B6" s="6" t="s">
        <v>4</v>
      </c>
      <c r="C6" s="56" t="s">
        <v>5</v>
      </c>
      <c r="D6" s="29">
        <v>0</v>
      </c>
      <c r="E6" s="29">
        <v>1</v>
      </c>
      <c r="F6" s="29">
        <v>2</v>
      </c>
      <c r="G6" s="29">
        <v>3</v>
      </c>
      <c r="H6" s="29">
        <v>4</v>
      </c>
      <c r="I6" s="29">
        <v>5</v>
      </c>
      <c r="J6" s="29">
        <v>6</v>
      </c>
      <c r="K6" s="29">
        <v>7</v>
      </c>
      <c r="L6" s="29">
        <v>8</v>
      </c>
      <c r="M6" s="29">
        <v>9</v>
      </c>
      <c r="N6" s="29">
        <v>10</v>
      </c>
      <c r="O6" s="29">
        <v>11</v>
      </c>
      <c r="P6" s="29">
        <v>12</v>
      </c>
      <c r="Q6" s="29">
        <v>13</v>
      </c>
      <c r="R6" s="29">
        <v>14</v>
      </c>
      <c r="S6" s="29">
        <v>15</v>
      </c>
      <c r="T6" s="46"/>
      <c r="U6" s="46"/>
      <c r="V6" s="46"/>
      <c r="W6" s="46"/>
      <c r="X6" s="46"/>
      <c r="Y6" s="46"/>
      <c r="Z6" s="46"/>
    </row>
    <row r="7" spans="1:26">
      <c r="A7" s="31" t="s">
        <v>19</v>
      </c>
      <c r="B7" s="32">
        <v>7</v>
      </c>
      <c r="C7" s="33" t="s">
        <v>7</v>
      </c>
      <c r="D7" s="34">
        <f t="shared" ref="D7:E7" si="0">12250*1.075</f>
        <v>13168.75</v>
      </c>
      <c r="E7" s="35">
        <f t="shared" si="0"/>
        <v>13168.75</v>
      </c>
      <c r="F7" s="35">
        <f>12500*1.075</f>
        <v>13437.5</v>
      </c>
      <c r="G7" s="35">
        <f>13000*1.075</f>
        <v>13975</v>
      </c>
      <c r="H7" s="35">
        <f>13250*1.075</f>
        <v>14243.75</v>
      </c>
      <c r="I7" s="35">
        <f>13500*1.075</f>
        <v>14512.5</v>
      </c>
      <c r="J7" s="35">
        <f>13750*1.075</f>
        <v>14781.25</v>
      </c>
      <c r="K7" s="35">
        <f>14000*1.075</f>
        <v>15050</v>
      </c>
      <c r="L7" s="35">
        <f>14250*1.075</f>
        <v>15318.75</v>
      </c>
      <c r="M7" s="35">
        <f>14500*1.075</f>
        <v>15587.5</v>
      </c>
      <c r="N7" s="35">
        <f>14750*1.075</f>
        <v>15856.25</v>
      </c>
      <c r="O7" s="35">
        <f>15000*1.075</f>
        <v>16125</v>
      </c>
      <c r="P7" s="35">
        <f>15250*1.075</f>
        <v>16393.75</v>
      </c>
      <c r="Q7" s="35">
        <f>15500*1.075</f>
        <v>16662.5</v>
      </c>
      <c r="R7" s="35">
        <f>15750*1.075</f>
        <v>16931.25</v>
      </c>
      <c r="S7" s="35">
        <f>16000*1.075</f>
        <v>17200</v>
      </c>
      <c r="T7" s="46"/>
      <c r="U7" s="46"/>
      <c r="V7" s="46"/>
      <c r="W7" s="46"/>
      <c r="X7" s="46"/>
      <c r="Y7" s="46"/>
      <c r="Z7" s="46"/>
    </row>
    <row r="8" spans="1:26">
      <c r="A8" s="57" t="s">
        <v>14</v>
      </c>
      <c r="B8" s="58"/>
      <c r="C8" s="58"/>
      <c r="D8" s="59">
        <f t="shared" ref="D8:S8" si="1">D7/200</f>
        <v>65.84375</v>
      </c>
      <c r="E8" s="39">
        <f t="shared" si="1"/>
        <v>65.84375</v>
      </c>
      <c r="F8" s="39">
        <f t="shared" si="1"/>
        <v>67.1875</v>
      </c>
      <c r="G8" s="39">
        <f t="shared" si="1"/>
        <v>69.875</v>
      </c>
      <c r="H8" s="39">
        <f t="shared" si="1"/>
        <v>71.21875</v>
      </c>
      <c r="I8" s="39">
        <f t="shared" si="1"/>
        <v>72.5625</v>
      </c>
      <c r="J8" s="39">
        <f t="shared" si="1"/>
        <v>73.90625</v>
      </c>
      <c r="K8" s="39">
        <f t="shared" si="1"/>
        <v>75.25</v>
      </c>
      <c r="L8" s="39">
        <f t="shared" si="1"/>
        <v>76.59375</v>
      </c>
      <c r="M8" s="39">
        <f t="shared" si="1"/>
        <v>77.9375</v>
      </c>
      <c r="N8" s="39">
        <f t="shared" si="1"/>
        <v>79.28125</v>
      </c>
      <c r="O8" s="39">
        <f t="shared" si="1"/>
        <v>80.625</v>
      </c>
      <c r="P8" s="39">
        <f t="shared" si="1"/>
        <v>81.96875</v>
      </c>
      <c r="Q8" s="39">
        <f t="shared" si="1"/>
        <v>83.3125</v>
      </c>
      <c r="R8" s="39">
        <f t="shared" si="1"/>
        <v>84.65625</v>
      </c>
      <c r="S8" s="39">
        <f t="shared" si="1"/>
        <v>86</v>
      </c>
      <c r="T8" s="46"/>
      <c r="U8" s="46"/>
      <c r="V8" s="46"/>
      <c r="W8" s="46"/>
      <c r="X8" s="46"/>
      <c r="Y8" s="46"/>
      <c r="Z8" s="46"/>
    </row>
    <row r="9" spans="1:26">
      <c r="A9" s="60" t="s">
        <v>15</v>
      </c>
      <c r="B9" s="58"/>
      <c r="C9" s="58"/>
      <c r="D9" s="61">
        <f t="shared" ref="D9:S9" si="2">D8/7</f>
        <v>9.40625</v>
      </c>
      <c r="E9" s="61">
        <f t="shared" si="2"/>
        <v>9.40625</v>
      </c>
      <c r="F9" s="61">
        <f t="shared" si="2"/>
        <v>9.5982142857142865</v>
      </c>
      <c r="G9" s="61">
        <f t="shared" si="2"/>
        <v>9.9821428571428577</v>
      </c>
      <c r="H9" s="61">
        <f t="shared" si="2"/>
        <v>10.174107142857142</v>
      </c>
      <c r="I9" s="61">
        <f t="shared" si="2"/>
        <v>10.366071428571429</v>
      </c>
      <c r="J9" s="61">
        <f t="shared" si="2"/>
        <v>10.558035714285714</v>
      </c>
      <c r="K9" s="61">
        <f t="shared" si="2"/>
        <v>10.75</v>
      </c>
      <c r="L9" s="61">
        <f t="shared" si="2"/>
        <v>10.941964285714286</v>
      </c>
      <c r="M9" s="61">
        <f t="shared" si="2"/>
        <v>11.133928571428571</v>
      </c>
      <c r="N9" s="61">
        <f t="shared" si="2"/>
        <v>11.325892857142858</v>
      </c>
      <c r="O9" s="61">
        <f t="shared" si="2"/>
        <v>11.517857142857142</v>
      </c>
      <c r="P9" s="61">
        <f t="shared" si="2"/>
        <v>11.709821428571429</v>
      </c>
      <c r="Q9" s="61">
        <f t="shared" si="2"/>
        <v>11.901785714285714</v>
      </c>
      <c r="R9" s="61">
        <f t="shared" si="2"/>
        <v>12.09375</v>
      </c>
      <c r="S9" s="61">
        <f t="shared" si="2"/>
        <v>12.285714285714286</v>
      </c>
      <c r="T9" s="46"/>
      <c r="U9" s="46"/>
      <c r="V9" s="46"/>
      <c r="W9" s="46"/>
      <c r="X9" s="46"/>
      <c r="Y9" s="46"/>
      <c r="Z9" s="46"/>
    </row>
    <row r="10" spans="1:26">
      <c r="A10" s="46"/>
      <c r="B10" s="46"/>
      <c r="C10" s="46"/>
      <c r="D10" s="62" t="s">
        <v>16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55"/>
      <c r="S10" s="64"/>
      <c r="T10" s="46"/>
      <c r="U10" s="46"/>
      <c r="V10" s="46"/>
      <c r="W10" s="46"/>
      <c r="X10" s="46"/>
      <c r="Y10" s="46"/>
      <c r="Z10" s="46"/>
    </row>
    <row r="11" spans="1:26">
      <c r="A11" s="65" t="s">
        <v>17</v>
      </c>
      <c r="B11" s="46"/>
      <c r="C11" s="46"/>
      <c r="D11" s="29">
        <v>16</v>
      </c>
      <c r="E11" s="29">
        <v>17</v>
      </c>
      <c r="F11" s="29">
        <v>18</v>
      </c>
      <c r="G11" s="29">
        <v>19</v>
      </c>
      <c r="H11" s="29">
        <v>20</v>
      </c>
      <c r="I11" s="29">
        <v>21</v>
      </c>
      <c r="J11" s="29">
        <v>22</v>
      </c>
      <c r="K11" s="29">
        <v>23</v>
      </c>
      <c r="L11" s="29">
        <v>24</v>
      </c>
      <c r="M11" s="29">
        <v>25</v>
      </c>
      <c r="N11" s="29">
        <v>26</v>
      </c>
      <c r="O11" s="29">
        <v>27</v>
      </c>
      <c r="P11" s="29">
        <v>28</v>
      </c>
      <c r="Q11" s="29">
        <v>29</v>
      </c>
      <c r="R11" s="29">
        <v>30</v>
      </c>
      <c r="S11" s="46"/>
      <c r="T11" s="46"/>
      <c r="U11" s="46"/>
      <c r="V11" s="46"/>
      <c r="W11" s="46"/>
      <c r="X11" s="46"/>
      <c r="Y11" s="46"/>
      <c r="Z11" s="46"/>
    </row>
    <row r="12" spans="1:26">
      <c r="A12" s="31" t="s">
        <v>19</v>
      </c>
      <c r="B12" s="58"/>
      <c r="C12" s="58"/>
      <c r="D12" s="34">
        <f>16250*1.075</f>
        <v>17468.75</v>
      </c>
      <c r="E12" s="35">
        <f>16500*1.075</f>
        <v>17737.5</v>
      </c>
      <c r="F12" s="35">
        <f>16750*1.075</f>
        <v>18006.25</v>
      </c>
      <c r="G12" s="35">
        <f>17000*1.075</f>
        <v>18275</v>
      </c>
      <c r="H12" s="35">
        <f>17250*1.075</f>
        <v>18543.75</v>
      </c>
      <c r="I12" s="35">
        <f>17500*1.075</f>
        <v>18812.5</v>
      </c>
      <c r="J12" s="35">
        <f>17750*1.075</f>
        <v>19081.25</v>
      </c>
      <c r="K12" s="35">
        <f>18000*1.075</f>
        <v>19350</v>
      </c>
      <c r="L12" s="35">
        <f>18250*1.075</f>
        <v>19618.75</v>
      </c>
      <c r="M12" s="35">
        <f>18500*1.075</f>
        <v>19887.5</v>
      </c>
      <c r="N12" s="35">
        <f>18750*1.075</f>
        <v>20156.25</v>
      </c>
      <c r="O12" s="35">
        <f>19000*1.075</f>
        <v>20425</v>
      </c>
      <c r="P12" s="35">
        <f>19250*1.075</f>
        <v>20693.75</v>
      </c>
      <c r="Q12" s="35">
        <f>19500*1.075</f>
        <v>20962.5</v>
      </c>
      <c r="R12" s="35">
        <f>20000*1.075</f>
        <v>21500</v>
      </c>
      <c r="S12" s="46"/>
      <c r="T12" s="46"/>
      <c r="U12" s="46"/>
      <c r="V12" s="46"/>
      <c r="W12" s="46"/>
      <c r="X12" s="46"/>
      <c r="Y12" s="46"/>
      <c r="Z12" s="46"/>
    </row>
    <row r="13" spans="1:26">
      <c r="A13" s="57" t="s">
        <v>14</v>
      </c>
      <c r="B13" s="58"/>
      <c r="C13" s="58"/>
      <c r="D13" s="39">
        <f t="shared" ref="D13:R13" si="3">D12/200</f>
        <v>87.34375</v>
      </c>
      <c r="E13" s="39">
        <f t="shared" si="3"/>
        <v>88.6875</v>
      </c>
      <c r="F13" s="39">
        <f t="shared" si="3"/>
        <v>90.03125</v>
      </c>
      <c r="G13" s="39">
        <f t="shared" si="3"/>
        <v>91.375</v>
      </c>
      <c r="H13" s="39">
        <f t="shared" si="3"/>
        <v>92.71875</v>
      </c>
      <c r="I13" s="39">
        <f t="shared" si="3"/>
        <v>94.0625</v>
      </c>
      <c r="J13" s="39">
        <f t="shared" si="3"/>
        <v>95.40625</v>
      </c>
      <c r="K13" s="39">
        <f t="shared" si="3"/>
        <v>96.75</v>
      </c>
      <c r="L13" s="39">
        <f t="shared" si="3"/>
        <v>98.09375</v>
      </c>
      <c r="M13" s="39">
        <f t="shared" si="3"/>
        <v>99.4375</v>
      </c>
      <c r="N13" s="39">
        <f t="shared" si="3"/>
        <v>100.78125</v>
      </c>
      <c r="O13" s="39">
        <f t="shared" si="3"/>
        <v>102.125</v>
      </c>
      <c r="P13" s="39">
        <f t="shared" si="3"/>
        <v>103.46875</v>
      </c>
      <c r="Q13" s="39">
        <f t="shared" si="3"/>
        <v>104.8125</v>
      </c>
      <c r="R13" s="39">
        <f t="shared" si="3"/>
        <v>107.5</v>
      </c>
      <c r="S13" s="46"/>
      <c r="T13" s="46"/>
      <c r="U13" s="46"/>
      <c r="V13" s="46"/>
      <c r="W13" s="46"/>
      <c r="X13" s="46"/>
      <c r="Y13" s="46"/>
      <c r="Z13" s="46"/>
    </row>
    <row r="14" spans="1:26">
      <c r="A14" s="60" t="s">
        <v>15</v>
      </c>
      <c r="B14" s="58"/>
      <c r="C14" s="58"/>
      <c r="D14" s="66">
        <f t="shared" ref="D14:R14" si="4">D13/7</f>
        <v>12.477678571428571</v>
      </c>
      <c r="E14" s="66">
        <f t="shared" si="4"/>
        <v>12.669642857142858</v>
      </c>
      <c r="F14" s="66">
        <f t="shared" si="4"/>
        <v>12.861607142857142</v>
      </c>
      <c r="G14" s="66">
        <f t="shared" si="4"/>
        <v>13.053571428571429</v>
      </c>
      <c r="H14" s="66">
        <f t="shared" si="4"/>
        <v>13.245535714285714</v>
      </c>
      <c r="I14" s="66">
        <f t="shared" si="4"/>
        <v>13.4375</v>
      </c>
      <c r="J14" s="66">
        <f t="shared" si="4"/>
        <v>13.629464285714286</v>
      </c>
      <c r="K14" s="66">
        <f t="shared" si="4"/>
        <v>13.821428571428571</v>
      </c>
      <c r="L14" s="66">
        <f t="shared" si="4"/>
        <v>14.013392857142858</v>
      </c>
      <c r="M14" s="66">
        <f t="shared" si="4"/>
        <v>14.205357142857142</v>
      </c>
      <c r="N14" s="66">
        <f t="shared" si="4"/>
        <v>14.397321428571429</v>
      </c>
      <c r="O14" s="66">
        <f t="shared" si="4"/>
        <v>14.589285714285714</v>
      </c>
      <c r="P14" s="66">
        <f t="shared" si="4"/>
        <v>14.78125</v>
      </c>
      <c r="Q14" s="66">
        <f t="shared" si="4"/>
        <v>14.973214285714286</v>
      </c>
      <c r="R14" s="66">
        <f t="shared" si="4"/>
        <v>15.357142857142858</v>
      </c>
      <c r="S14" s="46"/>
      <c r="T14" s="46"/>
      <c r="U14" s="46"/>
      <c r="V14" s="46"/>
      <c r="W14" s="46"/>
      <c r="X14" s="46"/>
      <c r="Y14" s="46"/>
      <c r="Z14" s="46"/>
    </row>
    <row r="15" spans="1:26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>
      <c r="A17" s="47"/>
      <c r="B17" s="46"/>
      <c r="C17" s="46"/>
      <c r="D17" s="46"/>
      <c r="E17" s="46"/>
      <c r="F17" s="46"/>
      <c r="G17" s="46"/>
      <c r="H17" s="47"/>
      <c r="I17" s="46"/>
      <c r="J17" s="46"/>
      <c r="K17" s="46"/>
      <c r="L17" s="46"/>
      <c r="M17" s="46"/>
      <c r="N17" s="46"/>
      <c r="O17" s="46"/>
      <c r="P17" s="47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3">
    <mergeCell ref="A1:P1"/>
    <mergeCell ref="A3:C3"/>
    <mergeCell ref="A4:C4"/>
  </mergeCells>
  <printOptions horizontalCentered="1" gridLines="1"/>
  <pageMargins left="0.7" right="0.7" top="0.75" bottom="0.75" header="0" footer="0"/>
  <pageSetup scale="77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2" max="2" width="8.42578125" customWidth="1"/>
    <col min="3" max="3" width="9.7109375" customWidth="1"/>
    <col min="4" max="19" width="8.5703125" customWidth="1"/>
  </cols>
  <sheetData>
    <row r="1" spans="1:26">
      <c r="A1" s="20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9"/>
      <c r="R1" s="9"/>
      <c r="S1" s="9"/>
      <c r="T1" s="10"/>
      <c r="U1" s="10"/>
      <c r="V1" s="10"/>
      <c r="W1" s="10"/>
      <c r="X1" s="10"/>
      <c r="Y1" s="10"/>
      <c r="Z1" s="10"/>
    </row>
    <row r="2" spans="1:26">
      <c r="A2" s="47"/>
      <c r="B2" s="46"/>
      <c r="C2" s="46"/>
      <c r="D2" s="1"/>
      <c r="E2" s="46"/>
      <c r="F2" s="46"/>
      <c r="G2" s="1"/>
      <c r="H2" s="46"/>
      <c r="I2" s="47"/>
      <c r="J2" s="46"/>
      <c r="K2" s="9"/>
      <c r="L2" s="9"/>
      <c r="M2" s="9"/>
      <c r="N2" s="9"/>
      <c r="O2" s="9"/>
      <c r="P2" s="47"/>
      <c r="Q2" s="9"/>
      <c r="R2" s="9"/>
      <c r="S2" s="9"/>
      <c r="T2" s="46"/>
      <c r="U2" s="46"/>
      <c r="V2" s="46"/>
      <c r="W2" s="46"/>
      <c r="X2" s="46"/>
      <c r="Y2" s="46"/>
      <c r="Z2" s="46"/>
    </row>
    <row r="3" spans="1:26">
      <c r="A3" s="199" t="s">
        <v>1</v>
      </c>
      <c r="B3" s="200"/>
      <c r="C3" s="201"/>
      <c r="D3" s="48"/>
      <c r="E3" s="49"/>
      <c r="F3" s="49"/>
      <c r="G3" s="49"/>
      <c r="H3" s="49"/>
      <c r="I3" s="49"/>
      <c r="J3" s="49"/>
      <c r="K3" s="50"/>
      <c r="L3" s="50"/>
      <c r="M3" s="50"/>
      <c r="N3" s="50"/>
      <c r="O3" s="50"/>
      <c r="P3" s="50"/>
      <c r="Q3" s="50"/>
      <c r="R3" s="50"/>
      <c r="S3" s="51"/>
      <c r="T3" s="46"/>
      <c r="U3" s="46"/>
      <c r="V3" s="46"/>
      <c r="W3" s="46"/>
      <c r="X3" s="46"/>
      <c r="Y3" s="46"/>
      <c r="Z3" s="46"/>
    </row>
    <row r="4" spans="1:26">
      <c r="A4" s="202" t="s">
        <v>2</v>
      </c>
      <c r="B4" s="200"/>
      <c r="C4" s="201"/>
      <c r="D4" s="52"/>
      <c r="E4" s="53"/>
      <c r="F4" s="53"/>
      <c r="G4" s="52"/>
      <c r="H4" s="53"/>
      <c r="I4" s="53"/>
      <c r="J4" s="53"/>
      <c r="K4" s="54"/>
      <c r="L4" s="54"/>
      <c r="M4" s="54"/>
      <c r="N4" s="54"/>
      <c r="O4" s="54"/>
      <c r="P4" s="54"/>
      <c r="Q4" s="54"/>
      <c r="R4" s="54"/>
      <c r="S4" s="54"/>
      <c r="T4" s="46"/>
      <c r="U4" s="46"/>
      <c r="V4" s="46"/>
      <c r="W4" s="46"/>
      <c r="X4" s="46"/>
      <c r="Y4" s="46"/>
      <c r="Z4" s="46"/>
    </row>
    <row r="5" spans="1:26">
      <c r="A5" s="2"/>
      <c r="B5" s="3"/>
      <c r="C5" s="4"/>
      <c r="D5" s="55" t="s">
        <v>18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46"/>
      <c r="U5" s="46"/>
      <c r="V5" s="46"/>
      <c r="W5" s="46"/>
      <c r="X5" s="46"/>
      <c r="Y5" s="46"/>
      <c r="Z5" s="46"/>
    </row>
    <row r="6" spans="1:26">
      <c r="A6" s="5" t="s">
        <v>3</v>
      </c>
      <c r="B6" s="6" t="s">
        <v>4</v>
      </c>
      <c r="C6" s="7" t="s">
        <v>5</v>
      </c>
      <c r="D6" s="8">
        <v>0</v>
      </c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  <c r="K6" s="8">
        <v>7</v>
      </c>
      <c r="L6" s="8">
        <v>8</v>
      </c>
      <c r="M6" s="8">
        <v>9</v>
      </c>
      <c r="N6" s="8">
        <v>10</v>
      </c>
      <c r="O6" s="8">
        <v>11</v>
      </c>
      <c r="P6" s="8">
        <v>12</v>
      </c>
      <c r="Q6" s="8">
        <v>13</v>
      </c>
      <c r="R6" s="8">
        <v>14</v>
      </c>
      <c r="S6" s="8">
        <v>15</v>
      </c>
      <c r="T6" s="46"/>
      <c r="U6" s="46"/>
      <c r="V6" s="46"/>
      <c r="W6" s="46"/>
      <c r="X6" s="46"/>
      <c r="Y6" s="46"/>
      <c r="Z6" s="46"/>
    </row>
    <row r="7" spans="1:26">
      <c r="A7" s="67" t="s">
        <v>9</v>
      </c>
      <c r="B7" s="68">
        <v>8</v>
      </c>
      <c r="C7" s="69" t="s">
        <v>8</v>
      </c>
      <c r="D7" s="70">
        <f>15350*1.075</f>
        <v>16501.25</v>
      </c>
      <c r="E7" s="71">
        <f>15400*1.075</f>
        <v>16555</v>
      </c>
      <c r="F7" s="71">
        <f>15500*1.075</f>
        <v>16662.5</v>
      </c>
      <c r="G7" s="71">
        <f>15750*1.075</f>
        <v>16931.25</v>
      </c>
      <c r="H7" s="71">
        <f>16000*1.075</f>
        <v>17200</v>
      </c>
      <c r="I7" s="71">
        <f>16350*1.075</f>
        <v>17576.25</v>
      </c>
      <c r="J7" s="71">
        <f>16700*1.075</f>
        <v>17952.5</v>
      </c>
      <c r="K7" s="71">
        <f>17000*1.075</f>
        <v>18275</v>
      </c>
      <c r="L7" s="71">
        <f>17300*1.075</f>
        <v>18597.5</v>
      </c>
      <c r="M7" s="71">
        <f>17600*1.075</f>
        <v>18920</v>
      </c>
      <c r="N7" s="71">
        <f>17700*1.075</f>
        <v>19027.5</v>
      </c>
      <c r="O7" s="71">
        <f>17800*1.075</f>
        <v>19135</v>
      </c>
      <c r="P7" s="71">
        <f>17900*1.075</f>
        <v>19242.5</v>
      </c>
      <c r="Q7" s="71">
        <f>18000*1.075</f>
        <v>19350</v>
      </c>
      <c r="R7" s="71">
        <f>18200*1.075</f>
        <v>19565</v>
      </c>
      <c r="S7" s="71">
        <f>18500*1.075</f>
        <v>19887.5</v>
      </c>
      <c r="T7" s="46"/>
      <c r="U7" s="46"/>
      <c r="V7" s="46"/>
      <c r="W7" s="46"/>
      <c r="X7" s="46"/>
      <c r="Y7" s="46"/>
      <c r="Z7" s="46"/>
    </row>
    <row r="8" spans="1:26">
      <c r="A8" s="57" t="s">
        <v>14</v>
      </c>
      <c r="B8" s="58"/>
      <c r="C8" s="58"/>
      <c r="D8" s="59">
        <f t="shared" ref="D8:S8" si="0">D7/240</f>
        <v>68.755208333333329</v>
      </c>
      <c r="E8" s="39">
        <f t="shared" si="0"/>
        <v>68.979166666666671</v>
      </c>
      <c r="F8" s="39">
        <f t="shared" si="0"/>
        <v>69.427083333333329</v>
      </c>
      <c r="G8" s="39">
        <f t="shared" si="0"/>
        <v>70.546875</v>
      </c>
      <c r="H8" s="39">
        <f t="shared" si="0"/>
        <v>71.666666666666671</v>
      </c>
      <c r="I8" s="39">
        <f t="shared" si="0"/>
        <v>73.234375</v>
      </c>
      <c r="J8" s="39">
        <f t="shared" si="0"/>
        <v>74.802083333333329</v>
      </c>
      <c r="K8" s="39">
        <f t="shared" si="0"/>
        <v>76.145833333333329</v>
      </c>
      <c r="L8" s="39">
        <f t="shared" si="0"/>
        <v>77.489583333333329</v>
      </c>
      <c r="M8" s="39">
        <f t="shared" si="0"/>
        <v>78.833333333333329</v>
      </c>
      <c r="N8" s="39">
        <f t="shared" si="0"/>
        <v>79.28125</v>
      </c>
      <c r="O8" s="39">
        <f t="shared" si="0"/>
        <v>79.729166666666671</v>
      </c>
      <c r="P8" s="39">
        <f t="shared" si="0"/>
        <v>80.177083333333329</v>
      </c>
      <c r="Q8" s="39">
        <f t="shared" si="0"/>
        <v>80.625</v>
      </c>
      <c r="R8" s="39">
        <f t="shared" si="0"/>
        <v>81.520833333333329</v>
      </c>
      <c r="S8" s="39">
        <f t="shared" si="0"/>
        <v>82.864583333333329</v>
      </c>
      <c r="T8" s="46"/>
      <c r="U8" s="46"/>
      <c r="V8" s="46"/>
      <c r="W8" s="46"/>
      <c r="X8" s="46"/>
      <c r="Y8" s="46"/>
      <c r="Z8" s="46"/>
    </row>
    <row r="9" spans="1:26">
      <c r="A9" s="60" t="s">
        <v>15</v>
      </c>
      <c r="B9" s="58"/>
      <c r="C9" s="58"/>
      <c r="D9" s="61">
        <f t="shared" ref="D9:S9" si="1">D8/8</f>
        <v>8.5944010416666661</v>
      </c>
      <c r="E9" s="61">
        <f t="shared" si="1"/>
        <v>8.6223958333333339</v>
      </c>
      <c r="F9" s="61">
        <f t="shared" si="1"/>
        <v>8.6783854166666661</v>
      </c>
      <c r="G9" s="61">
        <f t="shared" si="1"/>
        <v>8.818359375</v>
      </c>
      <c r="H9" s="61">
        <f t="shared" si="1"/>
        <v>8.9583333333333339</v>
      </c>
      <c r="I9" s="61">
        <f t="shared" si="1"/>
        <v>9.154296875</v>
      </c>
      <c r="J9" s="61">
        <f t="shared" si="1"/>
        <v>9.3502604166666661</v>
      </c>
      <c r="K9" s="61">
        <f t="shared" si="1"/>
        <v>9.5182291666666661</v>
      </c>
      <c r="L9" s="61">
        <f t="shared" si="1"/>
        <v>9.6861979166666661</v>
      </c>
      <c r="M9" s="61">
        <f t="shared" si="1"/>
        <v>9.8541666666666661</v>
      </c>
      <c r="N9" s="61">
        <f t="shared" si="1"/>
        <v>9.91015625</v>
      </c>
      <c r="O9" s="61">
        <f t="shared" si="1"/>
        <v>9.9661458333333339</v>
      </c>
      <c r="P9" s="61">
        <f t="shared" si="1"/>
        <v>10.022135416666666</v>
      </c>
      <c r="Q9" s="61">
        <f t="shared" si="1"/>
        <v>10.078125</v>
      </c>
      <c r="R9" s="61">
        <f t="shared" si="1"/>
        <v>10.190104166666666</v>
      </c>
      <c r="S9" s="61">
        <f t="shared" si="1"/>
        <v>10.358072916666666</v>
      </c>
      <c r="T9" s="46"/>
      <c r="U9" s="46"/>
      <c r="V9" s="46"/>
      <c r="W9" s="46"/>
      <c r="X9" s="46"/>
      <c r="Y9" s="46"/>
      <c r="Z9" s="46"/>
    </row>
    <row r="10" spans="1:26">
      <c r="A10" s="46"/>
      <c r="B10" s="46"/>
      <c r="C10" s="46"/>
      <c r="D10" s="55" t="s">
        <v>18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55"/>
      <c r="S10" s="64"/>
      <c r="T10" s="46"/>
      <c r="U10" s="46"/>
      <c r="V10" s="46"/>
      <c r="W10" s="46"/>
      <c r="X10" s="46"/>
      <c r="Y10" s="46"/>
      <c r="Z10" s="46"/>
    </row>
    <row r="11" spans="1:26">
      <c r="A11" s="65" t="s">
        <v>17</v>
      </c>
      <c r="B11" s="46"/>
      <c r="C11" s="46"/>
      <c r="D11" s="8">
        <v>16</v>
      </c>
      <c r="E11" s="8">
        <v>17</v>
      </c>
      <c r="F11" s="8">
        <v>18</v>
      </c>
      <c r="G11" s="8">
        <v>19</v>
      </c>
      <c r="H11" s="8">
        <v>20</v>
      </c>
      <c r="I11" s="8">
        <v>21</v>
      </c>
      <c r="J11" s="8">
        <v>22</v>
      </c>
      <c r="K11" s="8">
        <v>23</v>
      </c>
      <c r="L11" s="8">
        <v>24</v>
      </c>
      <c r="M11" s="8">
        <v>25</v>
      </c>
      <c r="N11" s="8">
        <v>26</v>
      </c>
      <c r="O11" s="8">
        <v>27</v>
      </c>
      <c r="P11" s="8">
        <v>28</v>
      </c>
      <c r="Q11" s="8">
        <v>29</v>
      </c>
      <c r="R11" s="8">
        <v>30</v>
      </c>
      <c r="S11" s="46"/>
      <c r="T11" s="46"/>
      <c r="U11" s="46"/>
      <c r="V11" s="46"/>
      <c r="W11" s="46"/>
      <c r="X11" s="46"/>
      <c r="Y11" s="46"/>
      <c r="Z11" s="46"/>
    </row>
    <row r="12" spans="1:26">
      <c r="A12" s="67" t="s">
        <v>9</v>
      </c>
      <c r="B12" s="58"/>
      <c r="C12" s="58"/>
      <c r="D12" s="70">
        <f>18600*1.075</f>
        <v>19995</v>
      </c>
      <c r="E12" s="71">
        <f>18700*1.075</f>
        <v>20102.5</v>
      </c>
      <c r="F12" s="71">
        <f>18800*1.075</f>
        <v>20210</v>
      </c>
      <c r="G12" s="71">
        <f>18900*1.075</f>
        <v>20317.5</v>
      </c>
      <c r="H12" s="71">
        <f>19200*1.075</f>
        <v>20640</v>
      </c>
      <c r="I12" s="71">
        <f>19300*1.075</f>
        <v>20747.5</v>
      </c>
      <c r="J12" s="71">
        <f>19400*1.075</f>
        <v>20855</v>
      </c>
      <c r="K12" s="71">
        <f>19500*1.075</f>
        <v>20962.5</v>
      </c>
      <c r="L12" s="71">
        <f>19600*1.075</f>
        <v>21070</v>
      </c>
      <c r="M12" s="71">
        <f>19700*1.075</f>
        <v>21177.5</v>
      </c>
      <c r="N12" s="71">
        <f>19800*1.075</f>
        <v>21285</v>
      </c>
      <c r="O12" s="71">
        <f>19900*1.075</f>
        <v>21392.5</v>
      </c>
      <c r="P12" s="71">
        <f>20000*1.075</f>
        <v>21500</v>
      </c>
      <c r="Q12" s="71">
        <f>20500*1.075</f>
        <v>22037.5</v>
      </c>
      <c r="R12" s="71">
        <f>21000*1.075</f>
        <v>22575</v>
      </c>
      <c r="S12" s="46"/>
      <c r="T12" s="46"/>
      <c r="U12" s="46"/>
      <c r="V12" s="46"/>
      <c r="W12" s="46"/>
      <c r="X12" s="46"/>
      <c r="Y12" s="46"/>
      <c r="Z12" s="46"/>
    </row>
    <row r="13" spans="1:26">
      <c r="A13" s="57" t="s">
        <v>14</v>
      </c>
      <c r="B13" s="58"/>
      <c r="C13" s="58"/>
      <c r="D13" s="39">
        <f t="shared" ref="D13:R13" si="2">D12/240</f>
        <v>83.3125</v>
      </c>
      <c r="E13" s="39">
        <f t="shared" si="2"/>
        <v>83.760416666666671</v>
      </c>
      <c r="F13" s="39">
        <f t="shared" si="2"/>
        <v>84.208333333333329</v>
      </c>
      <c r="G13" s="39">
        <f t="shared" si="2"/>
        <v>84.65625</v>
      </c>
      <c r="H13" s="39">
        <f t="shared" si="2"/>
        <v>86</v>
      </c>
      <c r="I13" s="39">
        <f t="shared" si="2"/>
        <v>86.447916666666671</v>
      </c>
      <c r="J13" s="39">
        <f t="shared" si="2"/>
        <v>86.895833333333329</v>
      </c>
      <c r="K13" s="39">
        <f t="shared" si="2"/>
        <v>87.34375</v>
      </c>
      <c r="L13" s="39">
        <f t="shared" si="2"/>
        <v>87.791666666666671</v>
      </c>
      <c r="M13" s="39">
        <f t="shared" si="2"/>
        <v>88.239583333333329</v>
      </c>
      <c r="N13" s="39">
        <f t="shared" si="2"/>
        <v>88.6875</v>
      </c>
      <c r="O13" s="39">
        <f t="shared" si="2"/>
        <v>89.135416666666671</v>
      </c>
      <c r="P13" s="39">
        <f t="shared" si="2"/>
        <v>89.583333333333329</v>
      </c>
      <c r="Q13" s="39">
        <f t="shared" si="2"/>
        <v>91.822916666666671</v>
      </c>
      <c r="R13" s="39">
        <f t="shared" si="2"/>
        <v>94.0625</v>
      </c>
      <c r="S13" s="46"/>
      <c r="T13" s="46"/>
      <c r="U13" s="46"/>
      <c r="V13" s="46"/>
      <c r="W13" s="46"/>
      <c r="X13" s="46"/>
      <c r="Y13" s="46"/>
      <c r="Z13" s="46"/>
    </row>
    <row r="14" spans="1:26">
      <c r="A14" s="60" t="s">
        <v>15</v>
      </c>
      <c r="B14" s="58"/>
      <c r="C14" s="58"/>
      <c r="D14" s="66">
        <f t="shared" ref="D14:R14" si="3">D13/8</f>
        <v>10.4140625</v>
      </c>
      <c r="E14" s="66">
        <f t="shared" si="3"/>
        <v>10.470052083333334</v>
      </c>
      <c r="F14" s="66">
        <f t="shared" si="3"/>
        <v>10.526041666666666</v>
      </c>
      <c r="G14" s="66">
        <f t="shared" si="3"/>
        <v>10.58203125</v>
      </c>
      <c r="H14" s="66">
        <f t="shared" si="3"/>
        <v>10.75</v>
      </c>
      <c r="I14" s="66">
        <f t="shared" si="3"/>
        <v>10.805989583333334</v>
      </c>
      <c r="J14" s="66">
        <f t="shared" si="3"/>
        <v>10.861979166666666</v>
      </c>
      <c r="K14" s="66">
        <f t="shared" si="3"/>
        <v>10.91796875</v>
      </c>
      <c r="L14" s="66">
        <f t="shared" si="3"/>
        <v>10.973958333333334</v>
      </c>
      <c r="M14" s="66">
        <f t="shared" si="3"/>
        <v>11.029947916666666</v>
      </c>
      <c r="N14" s="66">
        <f t="shared" si="3"/>
        <v>11.0859375</v>
      </c>
      <c r="O14" s="66">
        <f t="shared" si="3"/>
        <v>11.141927083333334</v>
      </c>
      <c r="P14" s="66">
        <f t="shared" si="3"/>
        <v>11.197916666666666</v>
      </c>
      <c r="Q14" s="66">
        <f t="shared" si="3"/>
        <v>11.477864583333334</v>
      </c>
      <c r="R14" s="66">
        <f t="shared" si="3"/>
        <v>11.7578125</v>
      </c>
      <c r="S14" s="46"/>
      <c r="T14" s="46"/>
      <c r="U14" s="46"/>
      <c r="V14" s="46"/>
      <c r="W14" s="46"/>
      <c r="X14" s="46"/>
      <c r="Y14" s="46"/>
      <c r="Z14" s="46"/>
    </row>
    <row r="15" spans="1:26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>
      <c r="A17" s="47"/>
      <c r="B17" s="46"/>
      <c r="C17" s="46"/>
      <c r="D17" s="46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7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mergeCells count="3">
    <mergeCell ref="A1:P1"/>
    <mergeCell ref="A3:C3"/>
    <mergeCell ref="A4:C4"/>
  </mergeCells>
  <printOptions horizontalCentered="1" gridLines="1"/>
  <pageMargins left="0.7" right="0.7" top="0.75" bottom="0.75" header="0" footer="0"/>
  <pageSetup scale="77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87"/>
  <sheetViews>
    <sheetView workbookViewId="0"/>
  </sheetViews>
  <sheetFormatPr defaultColWidth="14.42578125" defaultRowHeight="15" customHeight="1"/>
  <cols>
    <col min="1" max="1" width="17.5703125" customWidth="1"/>
    <col min="2" max="2" width="9.5703125" customWidth="1"/>
    <col min="3" max="3" width="8.28515625" customWidth="1"/>
    <col min="4" max="19" width="10.7109375" customWidth="1"/>
  </cols>
  <sheetData>
    <row r="1" spans="1:26">
      <c r="A1" s="20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9"/>
      <c r="R1" s="9"/>
      <c r="S1" s="9"/>
      <c r="T1" s="10"/>
      <c r="U1" s="10"/>
      <c r="V1" s="10"/>
      <c r="W1" s="10"/>
      <c r="X1" s="10"/>
      <c r="Y1" s="10"/>
      <c r="Z1" s="10"/>
    </row>
    <row r="2" spans="1:26">
      <c r="A2" s="11"/>
      <c r="B2" s="72"/>
      <c r="C2" s="72"/>
      <c r="D2" s="11"/>
      <c r="E2" s="72"/>
      <c r="F2" s="72"/>
      <c r="G2" s="72"/>
      <c r="H2" s="11"/>
      <c r="I2" s="72"/>
      <c r="J2" s="72"/>
      <c r="K2" s="72"/>
      <c r="L2" s="11"/>
      <c r="M2" s="72"/>
      <c r="N2" s="72"/>
      <c r="O2" s="72"/>
      <c r="P2" s="11"/>
      <c r="Q2" s="72"/>
      <c r="R2" s="72"/>
      <c r="S2" s="9"/>
      <c r="T2" s="10"/>
      <c r="U2" s="10"/>
      <c r="V2" s="10"/>
      <c r="W2" s="10"/>
      <c r="X2" s="10"/>
      <c r="Y2" s="10"/>
      <c r="Z2" s="10"/>
    </row>
    <row r="3" spans="1:26">
      <c r="A3" s="199" t="s">
        <v>1</v>
      </c>
      <c r="B3" s="200"/>
      <c r="C3" s="201"/>
      <c r="D3" s="13"/>
      <c r="E3" s="14"/>
      <c r="F3" s="14"/>
      <c r="G3" s="14"/>
      <c r="H3" s="14"/>
      <c r="I3" s="14"/>
      <c r="J3" s="14"/>
      <c r="K3" s="15"/>
      <c r="L3" s="15"/>
      <c r="M3" s="15"/>
      <c r="N3" s="15"/>
      <c r="O3" s="15"/>
      <c r="P3" s="15"/>
      <c r="Q3" s="15"/>
      <c r="R3" s="15"/>
      <c r="S3" s="16"/>
      <c r="T3" s="73"/>
      <c r="U3" s="10"/>
      <c r="V3" s="10"/>
      <c r="W3" s="10"/>
      <c r="X3" s="10"/>
      <c r="Y3" s="10"/>
      <c r="Z3" s="10"/>
    </row>
    <row r="4" spans="1:26">
      <c r="A4" s="202" t="s">
        <v>2</v>
      </c>
      <c r="B4" s="200"/>
      <c r="C4" s="201"/>
      <c r="D4" s="17"/>
      <c r="E4" s="18"/>
      <c r="F4" s="18"/>
      <c r="G4" s="17"/>
      <c r="H4" s="18"/>
      <c r="I4" s="18"/>
      <c r="J4" s="18"/>
      <c r="K4" s="9"/>
      <c r="L4" s="9"/>
      <c r="M4" s="9"/>
      <c r="N4" s="9"/>
      <c r="O4" s="9"/>
      <c r="P4" s="9"/>
      <c r="Q4" s="9"/>
      <c r="R4" s="9"/>
      <c r="S4" s="9"/>
      <c r="T4" s="74"/>
      <c r="U4" s="10"/>
      <c r="V4" s="10"/>
      <c r="W4" s="10"/>
      <c r="X4" s="10"/>
      <c r="Y4" s="10"/>
      <c r="Z4" s="10"/>
    </row>
    <row r="5" spans="1:26" ht="17.25" customHeight="1">
      <c r="A5" s="209" t="s">
        <v>20</v>
      </c>
      <c r="B5" s="200"/>
      <c r="C5" s="201"/>
      <c r="D5" s="22" t="s">
        <v>18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43"/>
      <c r="U5" s="10"/>
      <c r="V5" s="10"/>
      <c r="W5" s="10"/>
      <c r="X5" s="10"/>
      <c r="Y5" s="10"/>
      <c r="Z5" s="10"/>
    </row>
    <row r="6" spans="1:26" ht="28.5">
      <c r="A6" s="26" t="s">
        <v>3</v>
      </c>
      <c r="B6" s="27" t="s">
        <v>4</v>
      </c>
      <c r="C6" s="75" t="s">
        <v>5</v>
      </c>
      <c r="D6" s="29">
        <v>0</v>
      </c>
      <c r="E6" s="29">
        <v>1</v>
      </c>
      <c r="F6" s="29">
        <v>2</v>
      </c>
      <c r="G6" s="29">
        <v>3</v>
      </c>
      <c r="H6" s="29">
        <v>4</v>
      </c>
      <c r="I6" s="29">
        <v>5</v>
      </c>
      <c r="J6" s="29">
        <v>6</v>
      </c>
      <c r="K6" s="29">
        <v>7</v>
      </c>
      <c r="L6" s="29">
        <v>8</v>
      </c>
      <c r="M6" s="29">
        <v>9</v>
      </c>
      <c r="N6" s="29">
        <v>10</v>
      </c>
      <c r="O6" s="29">
        <v>11</v>
      </c>
      <c r="P6" s="29">
        <v>12</v>
      </c>
      <c r="Q6" s="29">
        <v>13</v>
      </c>
      <c r="R6" s="29">
        <v>14</v>
      </c>
      <c r="S6" s="29">
        <v>15</v>
      </c>
      <c r="T6" s="76"/>
      <c r="U6" s="10"/>
      <c r="V6" s="10"/>
      <c r="W6" s="10"/>
      <c r="X6" s="10"/>
      <c r="Y6" s="10"/>
      <c r="Z6" s="10"/>
    </row>
    <row r="7" spans="1:26" ht="18.75" customHeight="1">
      <c r="A7" s="77" t="s">
        <v>21</v>
      </c>
      <c r="B7" s="78">
        <v>8</v>
      </c>
      <c r="C7" s="79" t="s">
        <v>8</v>
      </c>
      <c r="D7" s="80">
        <f>24375*1.075</f>
        <v>26203.125</v>
      </c>
      <c r="E7" s="80">
        <f>24862*1.075</f>
        <v>26726.649999999998</v>
      </c>
      <c r="F7" s="80">
        <f>25359*1.075</f>
        <v>27260.924999999999</v>
      </c>
      <c r="G7" s="80">
        <f>25866*1.075</f>
        <v>27805.949999999997</v>
      </c>
      <c r="H7" s="80">
        <f>26383*1.075</f>
        <v>28361.724999999999</v>
      </c>
      <c r="I7" s="80">
        <f>26910*1.075</f>
        <v>28928.25</v>
      </c>
      <c r="J7" s="80">
        <f>27448*1.075</f>
        <v>29506.6</v>
      </c>
      <c r="K7" s="80">
        <f>27996*1.075</f>
        <v>30095.699999999997</v>
      </c>
      <c r="L7" s="80">
        <f>28555*1.075</f>
        <v>30696.625</v>
      </c>
      <c r="M7" s="80">
        <f>29126*1.075</f>
        <v>31310.449999999997</v>
      </c>
      <c r="N7" s="80">
        <f>29708*1.075</f>
        <v>31936.1</v>
      </c>
      <c r="O7" s="80">
        <f>30302*1.075</f>
        <v>32574.649999999998</v>
      </c>
      <c r="P7" s="80">
        <f>30908*1.075</f>
        <v>33226.1</v>
      </c>
      <c r="Q7" s="80">
        <f>31526*1.075</f>
        <v>33890.449999999997</v>
      </c>
      <c r="R7" s="80">
        <f>32156*1.075</f>
        <v>34567.699999999997</v>
      </c>
      <c r="S7" s="80">
        <f>32799*1.075</f>
        <v>35258.924999999996</v>
      </c>
      <c r="T7" s="73"/>
      <c r="U7" s="10"/>
      <c r="V7" s="10"/>
      <c r="W7" s="10"/>
      <c r="X7" s="10"/>
      <c r="Y7" s="10"/>
      <c r="Z7" s="10"/>
    </row>
    <row r="8" spans="1:26" ht="23.25" customHeight="1">
      <c r="A8" s="36" t="s">
        <v>14</v>
      </c>
      <c r="B8" s="37"/>
      <c r="C8" s="37"/>
      <c r="D8" s="38">
        <f t="shared" ref="D8:S8" si="0">D7/240</f>
        <v>109.1796875</v>
      </c>
      <c r="E8" s="39">
        <f t="shared" si="0"/>
        <v>111.36104166666665</v>
      </c>
      <c r="F8" s="39">
        <f t="shared" si="0"/>
        <v>113.5871875</v>
      </c>
      <c r="G8" s="39">
        <f t="shared" si="0"/>
        <v>115.85812499999999</v>
      </c>
      <c r="H8" s="39">
        <f t="shared" si="0"/>
        <v>118.17385416666666</v>
      </c>
      <c r="I8" s="39">
        <f t="shared" si="0"/>
        <v>120.534375</v>
      </c>
      <c r="J8" s="39">
        <f t="shared" si="0"/>
        <v>122.94416666666666</v>
      </c>
      <c r="K8" s="39">
        <f t="shared" si="0"/>
        <v>125.39874999999999</v>
      </c>
      <c r="L8" s="39">
        <f t="shared" si="0"/>
        <v>127.90260416666666</v>
      </c>
      <c r="M8" s="39">
        <f t="shared" si="0"/>
        <v>130.46020833333333</v>
      </c>
      <c r="N8" s="39">
        <f t="shared" si="0"/>
        <v>133.06708333333333</v>
      </c>
      <c r="O8" s="39">
        <f t="shared" si="0"/>
        <v>135.72770833333331</v>
      </c>
      <c r="P8" s="39">
        <f t="shared" si="0"/>
        <v>138.44208333333333</v>
      </c>
      <c r="Q8" s="39">
        <f t="shared" si="0"/>
        <v>141.21020833333333</v>
      </c>
      <c r="R8" s="39">
        <f t="shared" si="0"/>
        <v>144.03208333333333</v>
      </c>
      <c r="S8" s="39">
        <f t="shared" si="0"/>
        <v>146.91218749999999</v>
      </c>
      <c r="T8" s="73"/>
      <c r="U8" s="10"/>
      <c r="V8" s="10"/>
      <c r="W8" s="10"/>
      <c r="X8" s="10"/>
      <c r="Y8" s="10"/>
      <c r="Z8" s="10"/>
    </row>
    <row r="9" spans="1:26" ht="23.25" customHeight="1">
      <c r="A9" s="40" t="s">
        <v>15</v>
      </c>
      <c r="B9" s="37"/>
      <c r="C9" s="37"/>
      <c r="D9" s="41">
        <f t="shared" ref="D9:S9" si="1">D8/8</f>
        <v>13.6474609375</v>
      </c>
      <c r="E9" s="41">
        <f t="shared" si="1"/>
        <v>13.920130208333331</v>
      </c>
      <c r="F9" s="41">
        <f t="shared" si="1"/>
        <v>14.1983984375</v>
      </c>
      <c r="G9" s="41">
        <f t="shared" si="1"/>
        <v>14.482265624999998</v>
      </c>
      <c r="H9" s="41">
        <f t="shared" si="1"/>
        <v>14.771731770833332</v>
      </c>
      <c r="I9" s="41">
        <f t="shared" si="1"/>
        <v>15.066796875</v>
      </c>
      <c r="J9" s="41">
        <f t="shared" si="1"/>
        <v>15.368020833333333</v>
      </c>
      <c r="K9" s="41">
        <f t="shared" si="1"/>
        <v>15.674843749999999</v>
      </c>
      <c r="L9" s="41">
        <f t="shared" si="1"/>
        <v>15.987825520833333</v>
      </c>
      <c r="M9" s="41">
        <f t="shared" si="1"/>
        <v>16.307526041666666</v>
      </c>
      <c r="N9" s="41">
        <f t="shared" si="1"/>
        <v>16.633385416666666</v>
      </c>
      <c r="O9" s="41">
        <f t="shared" si="1"/>
        <v>16.965963541666664</v>
      </c>
      <c r="P9" s="41">
        <f t="shared" si="1"/>
        <v>17.305260416666666</v>
      </c>
      <c r="Q9" s="41">
        <f t="shared" si="1"/>
        <v>17.651276041666666</v>
      </c>
      <c r="R9" s="41">
        <f t="shared" si="1"/>
        <v>18.004010416666667</v>
      </c>
      <c r="S9" s="41">
        <f t="shared" si="1"/>
        <v>18.364023437499998</v>
      </c>
      <c r="T9" s="73"/>
      <c r="U9" s="10"/>
      <c r="V9" s="10"/>
      <c r="W9" s="10"/>
      <c r="X9" s="10"/>
      <c r="Y9" s="10"/>
      <c r="Z9" s="10"/>
    </row>
    <row r="10" spans="1:2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>
      <c r="A12" s="199" t="s">
        <v>1</v>
      </c>
      <c r="B12" s="200"/>
      <c r="C12" s="201"/>
      <c r="D12" s="13"/>
      <c r="E12" s="14"/>
      <c r="F12" s="14"/>
      <c r="G12" s="14"/>
      <c r="H12" s="14"/>
      <c r="I12" s="14"/>
      <c r="J12" s="14"/>
      <c r="K12" s="15"/>
      <c r="L12" s="15"/>
      <c r="M12" s="15"/>
      <c r="N12" s="15"/>
      <c r="O12" s="15"/>
      <c r="P12" s="15"/>
      <c r="Q12" s="15"/>
      <c r="R12" s="15"/>
      <c r="S12" s="16"/>
      <c r="T12" s="10"/>
      <c r="U12" s="10"/>
      <c r="V12" s="10"/>
      <c r="W12" s="10"/>
      <c r="X12" s="10"/>
      <c r="Y12" s="10"/>
      <c r="Z12" s="10"/>
    </row>
    <row r="13" spans="1:26">
      <c r="A13" s="202" t="s">
        <v>2</v>
      </c>
      <c r="B13" s="200"/>
      <c r="C13" s="201"/>
      <c r="D13" s="17"/>
      <c r="E13" s="18"/>
      <c r="F13" s="18"/>
      <c r="G13" s="17"/>
      <c r="H13" s="18"/>
      <c r="I13" s="18"/>
      <c r="J13" s="18"/>
      <c r="K13" s="9"/>
      <c r="L13" s="9"/>
      <c r="M13" s="9"/>
      <c r="N13" s="9"/>
      <c r="O13" s="9"/>
      <c r="P13" s="9"/>
      <c r="Q13" s="9"/>
      <c r="R13" s="9"/>
      <c r="S13" s="9"/>
      <c r="T13" s="10"/>
      <c r="U13" s="10"/>
      <c r="V13" s="10"/>
      <c r="W13" s="10"/>
      <c r="X13" s="10"/>
      <c r="Y13" s="10"/>
      <c r="Z13" s="10"/>
    </row>
    <row r="14" spans="1:26">
      <c r="A14" s="210" t="s">
        <v>11</v>
      </c>
      <c r="B14" s="200"/>
      <c r="C14" s="201"/>
      <c r="D14" s="22" t="s">
        <v>18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0"/>
      <c r="U14" s="10"/>
      <c r="V14" s="10"/>
      <c r="W14" s="10"/>
      <c r="X14" s="10"/>
      <c r="Y14" s="10"/>
      <c r="Z14" s="10"/>
    </row>
    <row r="15" spans="1:26" ht="28.5">
      <c r="A15" s="26" t="s">
        <v>3</v>
      </c>
      <c r="B15" s="27" t="s">
        <v>4</v>
      </c>
      <c r="C15" s="75" t="s">
        <v>5</v>
      </c>
      <c r="D15" s="29">
        <v>0</v>
      </c>
      <c r="E15" s="29">
        <v>1</v>
      </c>
      <c r="F15" s="29">
        <v>2</v>
      </c>
      <c r="G15" s="29">
        <v>3</v>
      </c>
      <c r="H15" s="29">
        <v>4</v>
      </c>
      <c r="I15" s="29">
        <v>5</v>
      </c>
      <c r="J15" s="29">
        <v>6</v>
      </c>
      <c r="K15" s="29">
        <v>7</v>
      </c>
      <c r="L15" s="29">
        <v>8</v>
      </c>
      <c r="M15" s="29">
        <v>9</v>
      </c>
      <c r="N15" s="29">
        <v>10</v>
      </c>
      <c r="O15" s="29">
        <v>11</v>
      </c>
      <c r="P15" s="29">
        <v>12</v>
      </c>
      <c r="Q15" s="29">
        <v>13</v>
      </c>
      <c r="R15" s="29">
        <v>14</v>
      </c>
      <c r="S15" s="29">
        <v>15</v>
      </c>
      <c r="T15" s="10"/>
      <c r="U15" s="10"/>
      <c r="V15" s="10"/>
      <c r="W15" s="10"/>
      <c r="X15" s="10"/>
      <c r="Y15" s="10"/>
      <c r="Z15" s="10"/>
    </row>
    <row r="16" spans="1:26">
      <c r="A16" s="77" t="s">
        <v>11</v>
      </c>
      <c r="B16" s="78">
        <v>8</v>
      </c>
      <c r="C16" s="79" t="s">
        <v>8</v>
      </c>
      <c r="D16" s="80">
        <f>29250*1.075</f>
        <v>31443.75</v>
      </c>
      <c r="E16" s="80">
        <f>29835*1.075</f>
        <v>32072.625</v>
      </c>
      <c r="F16" s="80">
        <f>30431*1.075</f>
        <v>32713.324999999997</v>
      </c>
      <c r="G16" s="80">
        <f>31037*1.075</f>
        <v>33364.775000000001</v>
      </c>
      <c r="H16" s="80">
        <f>31357*1.075</f>
        <v>33708.775000000001</v>
      </c>
      <c r="I16" s="80">
        <f>31990*1.075</f>
        <v>34389.25</v>
      </c>
      <c r="J16" s="80">
        <f>32629*1.075</f>
        <v>35076.174999999996</v>
      </c>
      <c r="K16" s="80">
        <f>33281*1.075</f>
        <v>35777.074999999997</v>
      </c>
      <c r="L16" s="80">
        <f>33946*1.075</f>
        <v>36491.949999999997</v>
      </c>
      <c r="M16" s="80">
        <f>34624*1.075</f>
        <v>37220.799999999996</v>
      </c>
      <c r="N16" s="80">
        <f>35316*1.075</f>
        <v>37964.699999999997</v>
      </c>
      <c r="O16" s="80">
        <f>36022*1.075</f>
        <v>38723.65</v>
      </c>
      <c r="P16" s="80">
        <f>36742*1.075</f>
        <v>39497.65</v>
      </c>
      <c r="Q16" s="80">
        <f>37476*1.075</f>
        <v>40286.699999999997</v>
      </c>
      <c r="R16" s="80">
        <f>38225*1.075</f>
        <v>41091.875</v>
      </c>
      <c r="S16" s="80">
        <f>38989*1.075</f>
        <v>41913.174999999996</v>
      </c>
      <c r="T16" s="10"/>
      <c r="U16" s="10"/>
      <c r="V16" s="10"/>
      <c r="W16" s="10"/>
      <c r="X16" s="10"/>
      <c r="Y16" s="10"/>
      <c r="Z16" s="10"/>
    </row>
    <row r="17" spans="1:26" ht="19.5" customHeight="1">
      <c r="A17" s="36" t="s">
        <v>14</v>
      </c>
      <c r="B17" s="37"/>
      <c r="C17" s="37"/>
      <c r="D17" s="38">
        <f t="shared" ref="D17:S17" si="2">D16/240</f>
        <v>131.015625</v>
      </c>
      <c r="E17" s="39">
        <f t="shared" si="2"/>
        <v>133.63593750000001</v>
      </c>
      <c r="F17" s="39">
        <f t="shared" si="2"/>
        <v>136.30552083333333</v>
      </c>
      <c r="G17" s="39">
        <f t="shared" si="2"/>
        <v>139.01989583333335</v>
      </c>
      <c r="H17" s="39">
        <f t="shared" si="2"/>
        <v>140.45322916666666</v>
      </c>
      <c r="I17" s="39">
        <f t="shared" si="2"/>
        <v>143.28854166666667</v>
      </c>
      <c r="J17" s="39">
        <f t="shared" si="2"/>
        <v>146.15072916666665</v>
      </c>
      <c r="K17" s="39">
        <f t="shared" si="2"/>
        <v>149.07114583333333</v>
      </c>
      <c r="L17" s="39">
        <f t="shared" si="2"/>
        <v>152.04979166666666</v>
      </c>
      <c r="M17" s="39">
        <f t="shared" si="2"/>
        <v>155.08666666666664</v>
      </c>
      <c r="N17" s="39">
        <f t="shared" si="2"/>
        <v>158.18625</v>
      </c>
      <c r="O17" s="39">
        <f t="shared" si="2"/>
        <v>161.34854166666668</v>
      </c>
      <c r="P17" s="39">
        <f t="shared" si="2"/>
        <v>164.57354166666667</v>
      </c>
      <c r="Q17" s="39">
        <f t="shared" si="2"/>
        <v>167.86124999999998</v>
      </c>
      <c r="R17" s="39">
        <f t="shared" si="2"/>
        <v>171.21614583333334</v>
      </c>
      <c r="S17" s="39">
        <f t="shared" si="2"/>
        <v>174.63822916666666</v>
      </c>
      <c r="T17" s="10"/>
      <c r="U17" s="10"/>
      <c r="V17" s="10"/>
      <c r="W17" s="10"/>
      <c r="X17" s="10"/>
      <c r="Y17" s="10"/>
      <c r="Z17" s="10"/>
    </row>
    <row r="18" spans="1:26" ht="19.5" customHeight="1">
      <c r="A18" s="40" t="s">
        <v>15</v>
      </c>
      <c r="B18" s="37"/>
      <c r="C18" s="37"/>
      <c r="D18" s="41">
        <f t="shared" ref="D18:S18" si="3">D17/8</f>
        <v>16.376953125</v>
      </c>
      <c r="E18" s="41">
        <f t="shared" si="3"/>
        <v>16.704492187500001</v>
      </c>
      <c r="F18" s="41">
        <f t="shared" si="3"/>
        <v>17.038190104166667</v>
      </c>
      <c r="G18" s="41">
        <f t="shared" si="3"/>
        <v>17.377486979166669</v>
      </c>
      <c r="H18" s="41">
        <f t="shared" si="3"/>
        <v>17.556653645833332</v>
      </c>
      <c r="I18" s="41">
        <f t="shared" si="3"/>
        <v>17.911067708333334</v>
      </c>
      <c r="J18" s="41">
        <f t="shared" si="3"/>
        <v>18.268841145833331</v>
      </c>
      <c r="K18" s="41">
        <f t="shared" si="3"/>
        <v>18.633893229166667</v>
      </c>
      <c r="L18" s="41">
        <f t="shared" si="3"/>
        <v>19.006223958333333</v>
      </c>
      <c r="M18" s="41">
        <f t="shared" si="3"/>
        <v>19.385833333333331</v>
      </c>
      <c r="N18" s="41">
        <f t="shared" si="3"/>
        <v>19.77328125</v>
      </c>
      <c r="O18" s="41">
        <f t="shared" si="3"/>
        <v>20.168567708333335</v>
      </c>
      <c r="P18" s="41">
        <f t="shared" si="3"/>
        <v>20.571692708333334</v>
      </c>
      <c r="Q18" s="41">
        <f t="shared" si="3"/>
        <v>20.982656249999998</v>
      </c>
      <c r="R18" s="41">
        <f t="shared" si="3"/>
        <v>21.402018229166668</v>
      </c>
      <c r="S18" s="41">
        <f t="shared" si="3"/>
        <v>21.829778645833333</v>
      </c>
      <c r="T18" s="10"/>
      <c r="U18" s="10"/>
      <c r="V18" s="10"/>
      <c r="W18" s="10"/>
      <c r="X18" s="10"/>
      <c r="Y18" s="10"/>
      <c r="Z18" s="10"/>
    </row>
    <row r="19" spans="1:2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</sheetData>
  <mergeCells count="7">
    <mergeCell ref="A13:C13"/>
    <mergeCell ref="A14:C14"/>
    <mergeCell ref="A1:P1"/>
    <mergeCell ref="A3:C3"/>
    <mergeCell ref="A4:C4"/>
    <mergeCell ref="A5:C5"/>
    <mergeCell ref="A12:C12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/>
  </sheetViews>
  <sheetFormatPr defaultColWidth="14.42578125" defaultRowHeight="15" customHeight="1"/>
  <cols>
    <col min="1" max="1" width="17.5703125" customWidth="1"/>
    <col min="2" max="2" width="9.5703125" customWidth="1"/>
    <col min="3" max="3" width="8.28515625" customWidth="1"/>
    <col min="4" max="19" width="10.7109375" customWidth="1"/>
  </cols>
  <sheetData>
    <row r="1" spans="1:26" ht="15.75">
      <c r="A1" s="211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81"/>
      <c r="R1" s="81"/>
      <c r="S1" s="81"/>
      <c r="T1" s="82"/>
      <c r="U1" s="82"/>
      <c r="V1" s="82"/>
      <c r="W1" s="82"/>
      <c r="X1" s="82"/>
      <c r="Y1" s="82"/>
      <c r="Z1" s="82"/>
    </row>
    <row r="2" spans="1:26">
      <c r="A2" s="83"/>
      <c r="B2" s="84"/>
      <c r="C2" s="84"/>
      <c r="D2" s="85"/>
      <c r="E2" s="82"/>
      <c r="F2" s="82"/>
      <c r="G2" s="82"/>
      <c r="H2" s="85"/>
      <c r="I2" s="82"/>
      <c r="J2" s="82"/>
      <c r="K2" s="82"/>
      <c r="L2" s="85"/>
      <c r="M2" s="82"/>
      <c r="N2" s="82"/>
      <c r="O2" s="82"/>
      <c r="P2" s="85"/>
      <c r="Q2" s="82"/>
      <c r="R2" s="82"/>
      <c r="S2" s="81"/>
      <c r="T2" s="82"/>
      <c r="U2" s="82"/>
      <c r="V2" s="82"/>
      <c r="W2" s="82"/>
      <c r="X2" s="82"/>
      <c r="Y2" s="82"/>
      <c r="Z2" s="82"/>
    </row>
    <row r="3" spans="1:26">
      <c r="A3" s="212" t="s">
        <v>1</v>
      </c>
      <c r="B3" s="200"/>
      <c r="C3" s="201"/>
      <c r="D3" s="86"/>
      <c r="E3" s="87"/>
      <c r="F3" s="87"/>
      <c r="G3" s="87"/>
      <c r="H3" s="87"/>
      <c r="I3" s="87"/>
      <c r="J3" s="87"/>
      <c r="K3" s="88"/>
      <c r="L3" s="88"/>
      <c r="M3" s="88"/>
      <c r="N3" s="88"/>
      <c r="O3" s="88"/>
      <c r="P3" s="88"/>
      <c r="Q3" s="88"/>
      <c r="R3" s="88"/>
      <c r="S3" s="88"/>
      <c r="T3" s="87"/>
      <c r="U3" s="82"/>
      <c r="V3" s="82"/>
      <c r="W3" s="82"/>
      <c r="X3" s="82"/>
      <c r="Y3" s="82"/>
      <c r="Z3" s="82"/>
    </row>
    <row r="4" spans="1:26">
      <c r="A4" s="213" t="s">
        <v>2</v>
      </c>
      <c r="B4" s="200"/>
      <c r="C4" s="201"/>
      <c r="D4" s="84"/>
      <c r="E4" s="84"/>
      <c r="F4" s="84"/>
      <c r="G4" s="84"/>
      <c r="H4" s="84"/>
      <c r="I4" s="84"/>
      <c r="J4" s="84"/>
      <c r="K4" s="89"/>
      <c r="L4" s="89"/>
      <c r="M4" s="89"/>
      <c r="N4" s="89"/>
      <c r="O4" s="89"/>
      <c r="P4" s="89"/>
      <c r="Q4" s="89"/>
      <c r="R4" s="89"/>
      <c r="S4" s="89"/>
      <c r="T4" s="87"/>
      <c r="U4" s="82"/>
      <c r="V4" s="82"/>
      <c r="W4" s="82"/>
      <c r="X4" s="82"/>
      <c r="Y4" s="82"/>
      <c r="Z4" s="82"/>
    </row>
    <row r="5" spans="1:26" ht="17.25" customHeight="1">
      <c r="A5" s="214" t="s">
        <v>22</v>
      </c>
      <c r="B5" s="200"/>
      <c r="C5" s="201"/>
      <c r="D5" s="22" t="s">
        <v>18</v>
      </c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1"/>
      <c r="U5" s="82"/>
      <c r="V5" s="82"/>
      <c r="W5" s="82"/>
      <c r="X5" s="82"/>
      <c r="Y5" s="82"/>
      <c r="Z5" s="82"/>
    </row>
    <row r="6" spans="1:26" ht="30">
      <c r="A6" s="92" t="s">
        <v>3</v>
      </c>
      <c r="B6" s="93" t="s">
        <v>4</v>
      </c>
      <c r="C6" s="94" t="s">
        <v>5</v>
      </c>
      <c r="D6" s="95">
        <v>0</v>
      </c>
      <c r="E6" s="95">
        <v>1</v>
      </c>
      <c r="F6" s="95">
        <v>2</v>
      </c>
      <c r="G6" s="95">
        <v>3</v>
      </c>
      <c r="H6" s="95">
        <v>4</v>
      </c>
      <c r="I6" s="95">
        <v>5</v>
      </c>
      <c r="J6" s="95">
        <v>6</v>
      </c>
      <c r="K6" s="95">
        <v>7</v>
      </c>
      <c r="L6" s="95">
        <v>8</v>
      </c>
      <c r="M6" s="95">
        <v>9</v>
      </c>
      <c r="N6" s="95">
        <v>10</v>
      </c>
      <c r="O6" s="95">
        <v>11</v>
      </c>
      <c r="P6" s="95">
        <v>12</v>
      </c>
      <c r="Q6" s="95">
        <v>13</v>
      </c>
      <c r="R6" s="95">
        <v>14</v>
      </c>
      <c r="S6" s="95">
        <v>15</v>
      </c>
      <c r="T6" s="88"/>
      <c r="U6" s="82"/>
      <c r="V6" s="82"/>
      <c r="W6" s="82"/>
      <c r="X6" s="82"/>
      <c r="Y6" s="82"/>
      <c r="Z6" s="82"/>
    </row>
    <row r="7" spans="1:26" ht="18.75" customHeight="1">
      <c r="A7" s="96" t="s">
        <v>23</v>
      </c>
      <c r="B7" s="97">
        <v>7.5</v>
      </c>
      <c r="C7" s="98" t="s">
        <v>8</v>
      </c>
      <c r="D7" s="99">
        <f>20172*1.075</f>
        <v>21684.899999999998</v>
      </c>
      <c r="E7" s="99">
        <f>21648*1.075</f>
        <v>23271.599999999999</v>
      </c>
      <c r="F7" s="99">
        <f>23698*1.075</f>
        <v>25475.35</v>
      </c>
      <c r="G7" s="99">
        <f>24272*1.075</f>
        <v>26092.399999999998</v>
      </c>
      <c r="H7" s="99">
        <f>24846*1.075</f>
        <v>26709.449999999997</v>
      </c>
      <c r="I7" s="99">
        <f>25420*1.075</f>
        <v>27326.5</v>
      </c>
      <c r="J7" s="99">
        <f>25568*1.075</f>
        <v>27485.599999999999</v>
      </c>
      <c r="K7" s="99">
        <f>25994*1.075</f>
        <v>27943.55</v>
      </c>
      <c r="L7" s="99">
        <f>27142*1.075</f>
        <v>29177.649999999998</v>
      </c>
      <c r="M7" s="99">
        <f>27716*1.075</f>
        <v>29794.699999999997</v>
      </c>
      <c r="N7" s="99">
        <f>28290*1.075</f>
        <v>30411.75</v>
      </c>
      <c r="O7" s="99">
        <f>28864*1.075</f>
        <v>31028.799999999999</v>
      </c>
      <c r="P7" s="99">
        <f>29438*1.075</f>
        <v>31645.85</v>
      </c>
      <c r="Q7" s="99">
        <f>30012*1.075</f>
        <v>32262.899999999998</v>
      </c>
      <c r="R7" s="99">
        <f>30586*1.075</f>
        <v>32879.949999999997</v>
      </c>
      <c r="S7" s="99">
        <f>31160*1.075</f>
        <v>33497</v>
      </c>
      <c r="T7" s="87"/>
      <c r="U7" s="82"/>
      <c r="V7" s="82"/>
      <c r="W7" s="82"/>
      <c r="X7" s="82"/>
      <c r="Y7" s="82"/>
      <c r="Z7" s="82"/>
    </row>
    <row r="8" spans="1:26" ht="23.25" customHeight="1">
      <c r="A8" s="100" t="s">
        <v>14</v>
      </c>
      <c r="B8" s="84"/>
      <c r="C8" s="84"/>
      <c r="D8" s="101">
        <f t="shared" ref="D8:S8" si="0">D7/240</f>
        <v>90.353749999999991</v>
      </c>
      <c r="E8" s="102">
        <f t="shared" si="0"/>
        <v>96.964999999999989</v>
      </c>
      <c r="F8" s="102">
        <f t="shared" si="0"/>
        <v>106.14729166666666</v>
      </c>
      <c r="G8" s="102">
        <f t="shared" si="0"/>
        <v>108.71833333333332</v>
      </c>
      <c r="H8" s="102">
        <f t="shared" si="0"/>
        <v>111.28937499999999</v>
      </c>
      <c r="I8" s="102">
        <f t="shared" si="0"/>
        <v>113.86041666666667</v>
      </c>
      <c r="J8" s="102">
        <f t="shared" si="0"/>
        <v>114.52333333333333</v>
      </c>
      <c r="K8" s="102">
        <f t="shared" si="0"/>
        <v>116.43145833333332</v>
      </c>
      <c r="L8" s="102">
        <f t="shared" si="0"/>
        <v>121.57354166666666</v>
      </c>
      <c r="M8" s="102">
        <f t="shared" si="0"/>
        <v>124.14458333333332</v>
      </c>
      <c r="N8" s="102">
        <f t="shared" si="0"/>
        <v>126.715625</v>
      </c>
      <c r="O8" s="102">
        <f t="shared" si="0"/>
        <v>129.28666666666666</v>
      </c>
      <c r="P8" s="102">
        <f t="shared" si="0"/>
        <v>131.85770833333333</v>
      </c>
      <c r="Q8" s="102">
        <f t="shared" si="0"/>
        <v>134.42874999999998</v>
      </c>
      <c r="R8" s="102">
        <f t="shared" si="0"/>
        <v>136.99979166666665</v>
      </c>
      <c r="S8" s="102">
        <f t="shared" si="0"/>
        <v>139.57083333333333</v>
      </c>
      <c r="T8" s="87"/>
      <c r="U8" s="82"/>
      <c r="V8" s="82"/>
      <c r="W8" s="82"/>
      <c r="X8" s="82"/>
      <c r="Y8" s="82"/>
      <c r="Z8" s="82"/>
    </row>
    <row r="9" spans="1:26" ht="23.25" customHeight="1">
      <c r="A9" s="103" t="s">
        <v>15</v>
      </c>
      <c r="B9" s="84"/>
      <c r="C9" s="84"/>
      <c r="D9" s="104">
        <f t="shared" ref="D9:S9" si="1">D8/7.5</f>
        <v>12.047166666666666</v>
      </c>
      <c r="E9" s="104">
        <f t="shared" si="1"/>
        <v>12.928666666666665</v>
      </c>
      <c r="F9" s="104">
        <f t="shared" si="1"/>
        <v>14.152972222222221</v>
      </c>
      <c r="G9" s="104">
        <f t="shared" si="1"/>
        <v>14.495777777777777</v>
      </c>
      <c r="H9" s="104">
        <f t="shared" si="1"/>
        <v>14.838583333333332</v>
      </c>
      <c r="I9" s="104">
        <f t="shared" si="1"/>
        <v>15.181388888888888</v>
      </c>
      <c r="J9" s="104">
        <f t="shared" si="1"/>
        <v>15.269777777777778</v>
      </c>
      <c r="K9" s="104">
        <f t="shared" si="1"/>
        <v>15.524194444444444</v>
      </c>
      <c r="L9" s="104">
        <f t="shared" si="1"/>
        <v>16.209805555555555</v>
      </c>
      <c r="M9" s="104">
        <f t="shared" si="1"/>
        <v>16.552611111111108</v>
      </c>
      <c r="N9" s="104">
        <f t="shared" si="1"/>
        <v>16.895416666666666</v>
      </c>
      <c r="O9" s="104">
        <f t="shared" si="1"/>
        <v>17.238222222222223</v>
      </c>
      <c r="P9" s="104">
        <f t="shared" si="1"/>
        <v>17.581027777777777</v>
      </c>
      <c r="Q9" s="104">
        <f t="shared" si="1"/>
        <v>17.923833333333331</v>
      </c>
      <c r="R9" s="104">
        <f t="shared" si="1"/>
        <v>18.266638888888888</v>
      </c>
      <c r="S9" s="104">
        <f t="shared" si="1"/>
        <v>18.609444444444442</v>
      </c>
      <c r="T9" s="87"/>
      <c r="U9" s="82"/>
      <c r="V9" s="82"/>
      <c r="W9" s="82"/>
      <c r="X9" s="82"/>
      <c r="Y9" s="82"/>
      <c r="Z9" s="82"/>
    </row>
    <row r="10" spans="1:26" ht="19.5" customHeight="1">
      <c r="A10" s="82"/>
      <c r="B10" s="82"/>
      <c r="C10" s="84"/>
      <c r="D10" s="105" t="s">
        <v>24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90"/>
      <c r="S10" s="91"/>
      <c r="T10" s="91"/>
      <c r="U10" s="82"/>
      <c r="V10" s="82"/>
      <c r="W10" s="82"/>
      <c r="X10" s="82"/>
      <c r="Y10" s="82"/>
      <c r="Z10" s="82"/>
    </row>
    <row r="11" spans="1:26">
      <c r="A11" s="107" t="s">
        <v>17</v>
      </c>
      <c r="B11" s="84"/>
      <c r="C11" s="84"/>
      <c r="D11" s="95">
        <v>16</v>
      </c>
      <c r="E11" s="95">
        <v>17</v>
      </c>
      <c r="F11" s="95">
        <v>18</v>
      </c>
      <c r="G11" s="95">
        <v>19</v>
      </c>
      <c r="H11" s="95">
        <v>20</v>
      </c>
      <c r="I11" s="95">
        <v>21</v>
      </c>
      <c r="J11" s="95">
        <v>22</v>
      </c>
      <c r="K11" s="95">
        <v>23</v>
      </c>
      <c r="L11" s="95">
        <v>24</v>
      </c>
      <c r="M11" s="95">
        <v>25</v>
      </c>
      <c r="N11" s="95">
        <v>26</v>
      </c>
      <c r="O11" s="95">
        <v>27</v>
      </c>
      <c r="P11" s="95">
        <v>28</v>
      </c>
      <c r="Q11" s="95">
        <v>29</v>
      </c>
      <c r="R11" s="95">
        <v>30</v>
      </c>
      <c r="S11" s="82"/>
      <c r="T11" s="87"/>
      <c r="U11" s="82"/>
      <c r="V11" s="82"/>
      <c r="W11" s="82"/>
      <c r="X11" s="82"/>
      <c r="Y11" s="82"/>
      <c r="Z11" s="82"/>
    </row>
    <row r="12" spans="1:26" ht="22.5" customHeight="1">
      <c r="A12" s="96" t="s">
        <v>23</v>
      </c>
      <c r="B12" s="84"/>
      <c r="C12" s="84"/>
      <c r="D12" s="99">
        <f>31734*1.075</f>
        <v>34114.049999999996</v>
      </c>
      <c r="E12" s="99">
        <f>32308*1.075</f>
        <v>34731.1</v>
      </c>
      <c r="F12" s="99">
        <f>32882*1.075</f>
        <v>35348.15</v>
      </c>
      <c r="G12" s="99">
        <f>33456*1.075</f>
        <v>35965.199999999997</v>
      </c>
      <c r="H12" s="99">
        <f>34030*1.075</f>
        <v>36582.25</v>
      </c>
      <c r="I12" s="99">
        <f>34604*1.075</f>
        <v>37199.299999999996</v>
      </c>
      <c r="J12" s="99">
        <f>35178*1.075</f>
        <v>37816.35</v>
      </c>
      <c r="K12" s="99">
        <f>35752*1.075</f>
        <v>38433.4</v>
      </c>
      <c r="L12" s="99">
        <f>36326*1.075</f>
        <v>39050.449999999997</v>
      </c>
      <c r="M12" s="99">
        <f>36900*1.075</f>
        <v>39667.5</v>
      </c>
      <c r="N12" s="99">
        <f>37474*1.075</f>
        <v>40284.549999999996</v>
      </c>
      <c r="O12" s="99">
        <f>38048*1.075</f>
        <v>40901.599999999999</v>
      </c>
      <c r="P12" s="99">
        <f>38622*1.075</f>
        <v>41518.65</v>
      </c>
      <c r="Q12" s="99">
        <f>39196*1.075</f>
        <v>42135.7</v>
      </c>
      <c r="R12" s="99">
        <f>39770*1.075</f>
        <v>42752.75</v>
      </c>
      <c r="S12" s="82"/>
      <c r="T12" s="82"/>
      <c r="U12" s="82"/>
      <c r="V12" s="82"/>
      <c r="W12" s="82"/>
      <c r="X12" s="82"/>
      <c r="Y12" s="82"/>
      <c r="Z12" s="82"/>
    </row>
    <row r="13" spans="1:26" ht="23.25" customHeight="1">
      <c r="A13" s="100" t="s">
        <v>14</v>
      </c>
      <c r="B13" s="84"/>
      <c r="C13" s="84"/>
      <c r="D13" s="102">
        <f t="shared" ref="D13:R13" si="2">D12/240</f>
        <v>142.14187499999997</v>
      </c>
      <c r="E13" s="102">
        <f t="shared" si="2"/>
        <v>144.71291666666667</v>
      </c>
      <c r="F13" s="102">
        <f t="shared" si="2"/>
        <v>147.28395833333335</v>
      </c>
      <c r="G13" s="102">
        <f t="shared" si="2"/>
        <v>149.85499999999999</v>
      </c>
      <c r="H13" s="102">
        <f t="shared" si="2"/>
        <v>152.42604166666666</v>
      </c>
      <c r="I13" s="102">
        <f t="shared" si="2"/>
        <v>154.99708333333331</v>
      </c>
      <c r="J13" s="102">
        <f t="shared" si="2"/>
        <v>157.56812499999998</v>
      </c>
      <c r="K13" s="102">
        <f t="shared" si="2"/>
        <v>160.13916666666668</v>
      </c>
      <c r="L13" s="102">
        <f t="shared" si="2"/>
        <v>162.71020833333333</v>
      </c>
      <c r="M13" s="102">
        <f t="shared" si="2"/>
        <v>165.28125</v>
      </c>
      <c r="N13" s="102">
        <f t="shared" si="2"/>
        <v>167.85229166666664</v>
      </c>
      <c r="O13" s="102">
        <f t="shared" si="2"/>
        <v>170.42333333333332</v>
      </c>
      <c r="P13" s="102">
        <f t="shared" si="2"/>
        <v>172.99437500000002</v>
      </c>
      <c r="Q13" s="102">
        <f t="shared" si="2"/>
        <v>175.56541666666666</v>
      </c>
      <c r="R13" s="102">
        <f t="shared" si="2"/>
        <v>178.13645833333334</v>
      </c>
      <c r="S13" s="82"/>
      <c r="T13" s="82"/>
      <c r="U13" s="82"/>
      <c r="V13" s="82"/>
      <c r="W13" s="82"/>
      <c r="X13" s="82"/>
      <c r="Y13" s="82"/>
      <c r="Z13" s="82"/>
    </row>
    <row r="14" spans="1:26" ht="22.5" customHeight="1">
      <c r="A14" s="103" t="s">
        <v>15</v>
      </c>
      <c r="B14" s="84"/>
      <c r="C14" s="84"/>
      <c r="D14" s="108">
        <f t="shared" ref="D14:R14" si="3">D13/7.5</f>
        <v>18.952249999999996</v>
      </c>
      <c r="E14" s="108">
        <f t="shared" si="3"/>
        <v>19.295055555555557</v>
      </c>
      <c r="F14" s="108">
        <f t="shared" si="3"/>
        <v>19.637861111111114</v>
      </c>
      <c r="G14" s="108">
        <f t="shared" si="3"/>
        <v>19.980666666666664</v>
      </c>
      <c r="H14" s="108">
        <f t="shared" si="3"/>
        <v>20.323472222222222</v>
      </c>
      <c r="I14" s="108">
        <f t="shared" si="3"/>
        <v>20.666277777777776</v>
      </c>
      <c r="J14" s="108">
        <f t="shared" si="3"/>
        <v>21.009083333333329</v>
      </c>
      <c r="K14" s="108">
        <f t="shared" si="3"/>
        <v>21.35188888888889</v>
      </c>
      <c r="L14" s="108">
        <f t="shared" si="3"/>
        <v>21.694694444444444</v>
      </c>
      <c r="M14" s="108">
        <f t="shared" si="3"/>
        <v>22.037500000000001</v>
      </c>
      <c r="N14" s="108">
        <f t="shared" si="3"/>
        <v>22.380305555555552</v>
      </c>
      <c r="O14" s="108">
        <f t="shared" si="3"/>
        <v>22.723111111111109</v>
      </c>
      <c r="P14" s="108">
        <f t="shared" si="3"/>
        <v>23.06591666666667</v>
      </c>
      <c r="Q14" s="108">
        <f t="shared" si="3"/>
        <v>23.40872222222222</v>
      </c>
      <c r="R14" s="108">
        <f t="shared" si="3"/>
        <v>23.751527777777778</v>
      </c>
      <c r="S14" s="82"/>
      <c r="T14" s="82"/>
      <c r="U14" s="82"/>
      <c r="V14" s="82"/>
      <c r="W14" s="82"/>
      <c r="X14" s="82"/>
      <c r="Y14" s="82"/>
      <c r="Z14" s="82"/>
    </row>
    <row r="15" spans="1:26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</row>
    <row r="16" spans="1:26">
      <c r="A16" s="84"/>
      <c r="B16" s="84"/>
      <c r="C16" s="84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</row>
    <row r="17" spans="1:26">
      <c r="A17" s="212" t="s">
        <v>1</v>
      </c>
      <c r="B17" s="200"/>
      <c r="C17" s="201"/>
      <c r="D17" s="86"/>
      <c r="E17" s="87"/>
      <c r="F17" s="87"/>
      <c r="G17" s="87"/>
      <c r="H17" s="87"/>
      <c r="I17" s="87"/>
      <c r="J17" s="87"/>
      <c r="K17" s="88"/>
      <c r="L17" s="88"/>
      <c r="M17" s="88"/>
      <c r="N17" s="88"/>
      <c r="O17" s="88"/>
      <c r="P17" s="88"/>
      <c r="Q17" s="88"/>
      <c r="R17" s="88"/>
      <c r="S17" s="88"/>
      <c r="T17" s="82"/>
      <c r="U17" s="82"/>
      <c r="V17" s="82"/>
      <c r="W17" s="82"/>
      <c r="X17" s="82"/>
      <c r="Y17" s="82"/>
      <c r="Z17" s="82"/>
    </row>
    <row r="18" spans="1:26">
      <c r="A18" s="213" t="s">
        <v>2</v>
      </c>
      <c r="B18" s="200"/>
      <c r="C18" s="201"/>
      <c r="D18" s="84"/>
      <c r="E18" s="84"/>
      <c r="F18" s="84"/>
      <c r="G18" s="84"/>
      <c r="H18" s="84"/>
      <c r="I18" s="84"/>
      <c r="J18" s="84"/>
      <c r="K18" s="89"/>
      <c r="L18" s="89"/>
      <c r="M18" s="89"/>
      <c r="N18" s="89"/>
      <c r="O18" s="89"/>
      <c r="P18" s="89"/>
      <c r="Q18" s="89"/>
      <c r="R18" s="89"/>
      <c r="S18" s="89"/>
      <c r="T18" s="82"/>
      <c r="U18" s="82"/>
      <c r="V18" s="82"/>
      <c r="W18" s="82"/>
      <c r="X18" s="82"/>
      <c r="Y18" s="82"/>
      <c r="Z18" s="82"/>
    </row>
    <row r="19" spans="1:26">
      <c r="A19" s="215" t="s">
        <v>25</v>
      </c>
      <c r="B19" s="200"/>
      <c r="C19" s="201"/>
      <c r="D19" s="105" t="s">
        <v>26</v>
      </c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82"/>
      <c r="U19" s="82"/>
      <c r="V19" s="82"/>
      <c r="W19" s="82"/>
      <c r="X19" s="82"/>
      <c r="Y19" s="82"/>
      <c r="Z19" s="82"/>
    </row>
    <row r="20" spans="1:26" ht="30">
      <c r="A20" s="92" t="s">
        <v>3</v>
      </c>
      <c r="B20" s="93" t="s">
        <v>4</v>
      </c>
      <c r="C20" s="94" t="s">
        <v>5</v>
      </c>
      <c r="D20" s="95">
        <v>0</v>
      </c>
      <c r="E20" s="95">
        <v>1</v>
      </c>
      <c r="F20" s="95">
        <v>2</v>
      </c>
      <c r="G20" s="95">
        <v>3</v>
      </c>
      <c r="H20" s="95">
        <v>4</v>
      </c>
      <c r="I20" s="95">
        <v>5</v>
      </c>
      <c r="J20" s="95">
        <v>6</v>
      </c>
      <c r="K20" s="95">
        <v>7</v>
      </c>
      <c r="L20" s="95">
        <v>8</v>
      </c>
      <c r="M20" s="95">
        <v>9</v>
      </c>
      <c r="N20" s="95">
        <v>10</v>
      </c>
      <c r="O20" s="95">
        <v>11</v>
      </c>
      <c r="P20" s="95">
        <v>12</v>
      </c>
      <c r="Q20" s="95">
        <v>13</v>
      </c>
      <c r="R20" s="95">
        <v>14</v>
      </c>
      <c r="S20" s="95">
        <v>15</v>
      </c>
      <c r="T20" s="82"/>
      <c r="U20" s="82"/>
      <c r="V20" s="82"/>
      <c r="W20" s="82"/>
      <c r="X20" s="82"/>
      <c r="Y20" s="82"/>
      <c r="Z20" s="82"/>
    </row>
    <row r="21" spans="1:26" ht="15.75">
      <c r="A21" s="96" t="s">
        <v>23</v>
      </c>
      <c r="B21" s="97">
        <v>7.5</v>
      </c>
      <c r="C21" s="98" t="s">
        <v>8</v>
      </c>
      <c r="D21" s="99">
        <f>21000*1.075</f>
        <v>22575</v>
      </c>
      <c r="E21" s="99">
        <f>22000*1.075</f>
        <v>23650</v>
      </c>
      <c r="F21" s="99">
        <f>24000*1.075</f>
        <v>25800</v>
      </c>
      <c r="G21" s="99">
        <f>24772*1.075</f>
        <v>26629.899999999998</v>
      </c>
      <c r="H21" s="99">
        <f>25100*1.075</f>
        <v>26982.5</v>
      </c>
      <c r="I21" s="99">
        <f>25920*1.075</f>
        <v>27864</v>
      </c>
      <c r="J21" s="99">
        <f>26226*1.075</f>
        <v>28192.949999999997</v>
      </c>
      <c r="K21" s="99">
        <f>26780*1.075</f>
        <v>28788.5</v>
      </c>
      <c r="L21" s="99">
        <f>27450*1.075</f>
        <v>29508.75</v>
      </c>
      <c r="M21" s="99">
        <f>27950*1.075</f>
        <v>30046.25</v>
      </c>
      <c r="N21" s="99">
        <f>28680*1.075</f>
        <v>30831</v>
      </c>
      <c r="O21" s="99">
        <f>29000*1.075</f>
        <v>31175</v>
      </c>
      <c r="P21" s="99">
        <f>29975*1.075</f>
        <v>32223.125</v>
      </c>
      <c r="Q21" s="99">
        <f>30500*1.075</f>
        <v>32787.5</v>
      </c>
      <c r="R21" s="99">
        <f>31000*1.075</f>
        <v>33325</v>
      </c>
      <c r="S21" s="99">
        <f>31700*1.075</f>
        <v>34077.5</v>
      </c>
      <c r="T21" s="82"/>
      <c r="U21" s="82"/>
      <c r="V21" s="82"/>
      <c r="W21" s="82"/>
      <c r="X21" s="82"/>
      <c r="Y21" s="82"/>
      <c r="Z21" s="82"/>
    </row>
    <row r="22" spans="1:26" ht="19.5" customHeight="1">
      <c r="A22" s="100" t="s">
        <v>14</v>
      </c>
      <c r="B22" s="84"/>
      <c r="C22" s="84"/>
      <c r="D22" s="101">
        <f t="shared" ref="D22:S22" si="4">D21/240</f>
        <v>94.0625</v>
      </c>
      <c r="E22" s="102">
        <f t="shared" si="4"/>
        <v>98.541666666666671</v>
      </c>
      <c r="F22" s="102">
        <f t="shared" si="4"/>
        <v>107.5</v>
      </c>
      <c r="G22" s="102">
        <f t="shared" si="4"/>
        <v>110.95791666666666</v>
      </c>
      <c r="H22" s="102">
        <f t="shared" si="4"/>
        <v>112.42708333333333</v>
      </c>
      <c r="I22" s="102">
        <f t="shared" si="4"/>
        <v>116.1</v>
      </c>
      <c r="J22" s="102">
        <f t="shared" si="4"/>
        <v>117.47062499999998</v>
      </c>
      <c r="K22" s="102">
        <f t="shared" si="4"/>
        <v>119.95208333333333</v>
      </c>
      <c r="L22" s="102">
        <f t="shared" si="4"/>
        <v>122.953125</v>
      </c>
      <c r="M22" s="102">
        <f t="shared" si="4"/>
        <v>125.19270833333333</v>
      </c>
      <c r="N22" s="102">
        <f t="shared" si="4"/>
        <v>128.46250000000001</v>
      </c>
      <c r="O22" s="102">
        <f t="shared" si="4"/>
        <v>129.89583333333334</v>
      </c>
      <c r="P22" s="102">
        <f t="shared" si="4"/>
        <v>134.26302083333334</v>
      </c>
      <c r="Q22" s="102">
        <f t="shared" si="4"/>
        <v>136.61458333333334</v>
      </c>
      <c r="R22" s="102">
        <f t="shared" si="4"/>
        <v>138.85416666666666</v>
      </c>
      <c r="S22" s="102">
        <f t="shared" si="4"/>
        <v>141.98958333333334</v>
      </c>
      <c r="T22" s="82"/>
      <c r="U22" s="82"/>
      <c r="V22" s="82"/>
      <c r="W22" s="82"/>
      <c r="X22" s="82"/>
      <c r="Y22" s="82"/>
      <c r="Z22" s="82"/>
    </row>
    <row r="23" spans="1:26" ht="19.5" customHeight="1">
      <c r="A23" s="103" t="s">
        <v>15</v>
      </c>
      <c r="B23" s="84"/>
      <c r="C23" s="84"/>
      <c r="D23" s="104">
        <f t="shared" ref="D23:S23" si="5">D22/7.5</f>
        <v>12.541666666666666</v>
      </c>
      <c r="E23" s="104">
        <f t="shared" si="5"/>
        <v>13.138888888888889</v>
      </c>
      <c r="F23" s="104">
        <f t="shared" si="5"/>
        <v>14.333333333333334</v>
      </c>
      <c r="G23" s="104">
        <f t="shared" si="5"/>
        <v>14.794388888888887</v>
      </c>
      <c r="H23" s="104">
        <f t="shared" si="5"/>
        <v>14.990277777777777</v>
      </c>
      <c r="I23" s="104">
        <f t="shared" si="5"/>
        <v>15.479999999999999</v>
      </c>
      <c r="J23" s="104">
        <f t="shared" si="5"/>
        <v>15.662749999999997</v>
      </c>
      <c r="K23" s="104">
        <f t="shared" si="5"/>
        <v>15.993611111111111</v>
      </c>
      <c r="L23" s="104">
        <f t="shared" si="5"/>
        <v>16.393750000000001</v>
      </c>
      <c r="M23" s="104">
        <f t="shared" si="5"/>
        <v>16.692361111111111</v>
      </c>
      <c r="N23" s="104">
        <f t="shared" si="5"/>
        <v>17.128333333333334</v>
      </c>
      <c r="O23" s="104">
        <f t="shared" si="5"/>
        <v>17.319444444444446</v>
      </c>
      <c r="P23" s="104">
        <f t="shared" si="5"/>
        <v>17.901736111111113</v>
      </c>
      <c r="Q23" s="104">
        <f t="shared" si="5"/>
        <v>18.215277777777779</v>
      </c>
      <c r="R23" s="104">
        <f t="shared" si="5"/>
        <v>18.513888888888889</v>
      </c>
      <c r="S23" s="104">
        <f t="shared" si="5"/>
        <v>18.931944444444447</v>
      </c>
      <c r="T23" s="82"/>
      <c r="U23" s="82"/>
      <c r="V23" s="82"/>
      <c r="W23" s="82"/>
      <c r="X23" s="82"/>
      <c r="Y23" s="82"/>
      <c r="Z23" s="82"/>
    </row>
    <row r="24" spans="1:26">
      <c r="A24" s="82"/>
      <c r="B24" s="82"/>
      <c r="C24" s="84"/>
      <c r="D24" s="105" t="s">
        <v>24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90"/>
      <c r="S24" s="91"/>
      <c r="T24" s="82"/>
      <c r="U24" s="82"/>
      <c r="V24" s="82"/>
      <c r="W24" s="82"/>
      <c r="X24" s="82"/>
      <c r="Y24" s="82"/>
      <c r="Z24" s="82"/>
    </row>
    <row r="25" spans="1:26">
      <c r="A25" s="107" t="s">
        <v>17</v>
      </c>
      <c r="B25" s="84"/>
      <c r="C25" s="84"/>
      <c r="D25" s="95">
        <v>16</v>
      </c>
      <c r="E25" s="95">
        <v>17</v>
      </c>
      <c r="F25" s="95">
        <v>18</v>
      </c>
      <c r="G25" s="95">
        <v>19</v>
      </c>
      <c r="H25" s="95">
        <v>20</v>
      </c>
      <c r="I25" s="95">
        <v>21</v>
      </c>
      <c r="J25" s="95">
        <v>22</v>
      </c>
      <c r="K25" s="95">
        <v>23</v>
      </c>
      <c r="L25" s="95">
        <v>24</v>
      </c>
      <c r="M25" s="95">
        <v>25</v>
      </c>
      <c r="N25" s="95">
        <v>26</v>
      </c>
      <c r="O25" s="95">
        <v>27</v>
      </c>
      <c r="P25" s="95">
        <v>28</v>
      </c>
      <c r="Q25" s="95">
        <v>29</v>
      </c>
      <c r="R25" s="95">
        <v>30</v>
      </c>
      <c r="S25" s="82"/>
      <c r="T25" s="82"/>
      <c r="U25" s="82"/>
      <c r="V25" s="82"/>
      <c r="W25" s="82"/>
      <c r="X25" s="82"/>
      <c r="Y25" s="82"/>
      <c r="Z25" s="82"/>
    </row>
    <row r="26" spans="1:26" ht="15.75">
      <c r="A26" s="96" t="s">
        <v>23</v>
      </c>
      <c r="B26" s="84"/>
      <c r="C26" s="84"/>
      <c r="D26" s="99">
        <f>32100*1.075</f>
        <v>34507.5</v>
      </c>
      <c r="E26" s="99">
        <f>32750*1.075</f>
        <v>35206.25</v>
      </c>
      <c r="F26" s="99">
        <f>33000*1.075</f>
        <v>35475</v>
      </c>
      <c r="G26" s="99">
        <f>34000*1.075</f>
        <v>36550</v>
      </c>
      <c r="H26" s="99">
        <f>34500*1.075</f>
        <v>37087.5</v>
      </c>
      <c r="I26" s="99">
        <f>35000*1.075</f>
        <v>37625</v>
      </c>
      <c r="J26" s="99">
        <f>35600*1.075</f>
        <v>38270</v>
      </c>
      <c r="K26" s="99">
        <f>36000*1.075</f>
        <v>38700</v>
      </c>
      <c r="L26" s="99">
        <f>36700*1.075</f>
        <v>39452.5</v>
      </c>
      <c r="M26" s="99">
        <f>37200*1.075</f>
        <v>39990</v>
      </c>
      <c r="N26" s="99">
        <f>37700*1.075</f>
        <v>40527.5</v>
      </c>
      <c r="O26" s="99">
        <f>38420*1.075</f>
        <v>41301.5</v>
      </c>
      <c r="P26" s="99">
        <f>39120*1.075</f>
        <v>42054</v>
      </c>
      <c r="Q26" s="99">
        <f>40000*1.075</f>
        <v>43000</v>
      </c>
      <c r="R26" s="99">
        <f>41000*1.075</f>
        <v>44075</v>
      </c>
      <c r="S26" s="82"/>
      <c r="T26" s="82"/>
      <c r="U26" s="82"/>
      <c r="V26" s="82"/>
      <c r="W26" s="82"/>
      <c r="X26" s="82"/>
      <c r="Y26" s="82"/>
      <c r="Z26" s="82"/>
    </row>
    <row r="27" spans="1:26" ht="21" customHeight="1">
      <c r="A27" s="100" t="s">
        <v>14</v>
      </c>
      <c r="B27" s="84"/>
      <c r="C27" s="84"/>
      <c r="D27" s="102">
        <f t="shared" ref="D27:R27" si="6">D26/240</f>
        <v>143.78125</v>
      </c>
      <c r="E27" s="102">
        <f t="shared" si="6"/>
        <v>146.69270833333334</v>
      </c>
      <c r="F27" s="102">
        <f t="shared" si="6"/>
        <v>147.8125</v>
      </c>
      <c r="G27" s="102">
        <f t="shared" si="6"/>
        <v>152.29166666666666</v>
      </c>
      <c r="H27" s="102">
        <f t="shared" si="6"/>
        <v>154.53125</v>
      </c>
      <c r="I27" s="102">
        <f t="shared" si="6"/>
        <v>156.77083333333334</v>
      </c>
      <c r="J27" s="102">
        <f t="shared" si="6"/>
        <v>159.45833333333334</v>
      </c>
      <c r="K27" s="102">
        <f t="shared" si="6"/>
        <v>161.25</v>
      </c>
      <c r="L27" s="102">
        <f t="shared" si="6"/>
        <v>164.38541666666666</v>
      </c>
      <c r="M27" s="102">
        <f t="shared" si="6"/>
        <v>166.625</v>
      </c>
      <c r="N27" s="102">
        <f t="shared" si="6"/>
        <v>168.86458333333334</v>
      </c>
      <c r="O27" s="102">
        <f t="shared" si="6"/>
        <v>172.08958333333334</v>
      </c>
      <c r="P27" s="102">
        <f t="shared" si="6"/>
        <v>175.22499999999999</v>
      </c>
      <c r="Q27" s="102">
        <f t="shared" si="6"/>
        <v>179.16666666666666</v>
      </c>
      <c r="R27" s="102">
        <f t="shared" si="6"/>
        <v>183.64583333333334</v>
      </c>
      <c r="S27" s="82"/>
      <c r="T27" s="82"/>
      <c r="U27" s="82"/>
      <c r="V27" s="82"/>
      <c r="W27" s="82"/>
      <c r="X27" s="82"/>
      <c r="Y27" s="82"/>
      <c r="Z27" s="82"/>
    </row>
    <row r="28" spans="1:26" ht="20.25" customHeight="1">
      <c r="A28" s="103" t="s">
        <v>15</v>
      </c>
      <c r="B28" s="84"/>
      <c r="C28" s="84"/>
      <c r="D28" s="108">
        <f t="shared" ref="D28:R28" si="7">D27/7.5</f>
        <v>19.170833333333334</v>
      </c>
      <c r="E28" s="108">
        <f t="shared" si="7"/>
        <v>19.559027777777779</v>
      </c>
      <c r="F28" s="108">
        <f t="shared" si="7"/>
        <v>19.708333333333332</v>
      </c>
      <c r="G28" s="108">
        <f t="shared" si="7"/>
        <v>20.305555555555554</v>
      </c>
      <c r="H28" s="108">
        <f t="shared" si="7"/>
        <v>20.604166666666668</v>
      </c>
      <c r="I28" s="108">
        <f t="shared" si="7"/>
        <v>20.902777777777779</v>
      </c>
      <c r="J28" s="108">
        <f t="shared" si="7"/>
        <v>21.261111111111113</v>
      </c>
      <c r="K28" s="108">
        <f t="shared" si="7"/>
        <v>21.5</v>
      </c>
      <c r="L28" s="108">
        <f t="shared" si="7"/>
        <v>21.918055555555554</v>
      </c>
      <c r="M28" s="108">
        <f t="shared" si="7"/>
        <v>22.216666666666665</v>
      </c>
      <c r="N28" s="108">
        <f t="shared" si="7"/>
        <v>22.515277777777779</v>
      </c>
      <c r="O28" s="108">
        <f t="shared" si="7"/>
        <v>22.945277777777779</v>
      </c>
      <c r="P28" s="108">
        <f t="shared" si="7"/>
        <v>23.363333333333333</v>
      </c>
      <c r="Q28" s="108">
        <f t="shared" si="7"/>
        <v>23.888888888888889</v>
      </c>
      <c r="R28" s="108">
        <f t="shared" si="7"/>
        <v>24.486111111111111</v>
      </c>
      <c r="S28" s="82"/>
      <c r="T28" s="82"/>
      <c r="U28" s="82"/>
      <c r="V28" s="82"/>
      <c r="W28" s="82"/>
      <c r="X28" s="82"/>
      <c r="Y28" s="82"/>
      <c r="Z28" s="82"/>
    </row>
    <row r="29" spans="1:26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>
      <c r="A30" s="83" t="s">
        <v>27</v>
      </c>
      <c r="B30" s="82"/>
      <c r="C30" s="82"/>
      <c r="D30" s="109"/>
      <c r="E30" s="82"/>
      <c r="F30" s="82"/>
      <c r="G30" s="82"/>
      <c r="H30" s="109"/>
      <c r="I30" s="82"/>
      <c r="J30" s="82"/>
      <c r="K30" s="82"/>
      <c r="L30" s="109"/>
      <c r="M30" s="82"/>
      <c r="N30" s="82"/>
      <c r="O30" s="82"/>
      <c r="P30" s="109"/>
      <c r="Q30" s="82"/>
      <c r="R30" s="82"/>
      <c r="S30" s="82"/>
      <c r="T30" s="82"/>
      <c r="U30" s="82"/>
      <c r="V30" s="82"/>
      <c r="W30" s="82"/>
      <c r="X30" s="82"/>
      <c r="Y30" s="82"/>
      <c r="Z30" s="82"/>
    </row>
    <row r="31" spans="1:26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</row>
    <row r="32" spans="1:26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</row>
    <row r="33" spans="1:26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</row>
    <row r="34" spans="1:26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</row>
    <row r="35" spans="1:26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</row>
    <row r="40" spans="1:26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</row>
    <row r="41" spans="1:26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</row>
    <row r="42" spans="1:26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</row>
    <row r="43" spans="1:26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</row>
    <row r="44" spans="1:26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</row>
    <row r="45" spans="1:26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</row>
    <row r="46" spans="1:26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</row>
    <row r="48" spans="1:26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</row>
    <row r="49" spans="1:26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</row>
    <row r="50" spans="1:26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</row>
    <row r="51" spans="1:26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</row>
    <row r="52" spans="1:26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</row>
    <row r="53" spans="1:26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</row>
    <row r="54" spans="1:26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</row>
    <row r="55" spans="1:26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</row>
    <row r="56" spans="1:26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7" spans="1:26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</row>
    <row r="58" spans="1:26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</row>
    <row r="59" spans="1:26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</row>
    <row r="62" spans="1:26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</row>
    <row r="63" spans="1:26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</row>
    <row r="64" spans="1:26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</row>
    <row r="65" spans="1:26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</row>
    <row r="66" spans="1:26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</row>
    <row r="67" spans="1:26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</row>
    <row r="68" spans="1:26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</row>
    <row r="69" spans="1:26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</row>
    <row r="70" spans="1:26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</row>
    <row r="71" spans="1:26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</row>
    <row r="72" spans="1:26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</row>
    <row r="73" spans="1:26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</row>
    <row r="74" spans="1:26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</row>
    <row r="75" spans="1:26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</row>
    <row r="76" spans="1:26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</row>
    <row r="77" spans="1:26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</row>
    <row r="78" spans="1:26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</row>
    <row r="79" spans="1:26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</row>
    <row r="80" spans="1:26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</row>
    <row r="81" spans="1:26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</row>
    <row r="82" spans="1:26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</row>
    <row r="83" spans="1:26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</row>
    <row r="84" spans="1:26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</row>
    <row r="85" spans="1:26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</row>
    <row r="86" spans="1:26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</row>
    <row r="87" spans="1:26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</row>
    <row r="88" spans="1:26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</row>
    <row r="90" spans="1:26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</row>
    <row r="91" spans="1:26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</row>
    <row r="92" spans="1:26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</row>
    <row r="93" spans="1:26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</row>
    <row r="94" spans="1:26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</row>
    <row r="95" spans="1:26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</row>
    <row r="96" spans="1:26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</row>
    <row r="97" spans="1:26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</row>
    <row r="100" spans="1:26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</row>
    <row r="101" spans="1:26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</row>
    <row r="102" spans="1:26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</row>
    <row r="103" spans="1:26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</row>
    <row r="104" spans="1:26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</row>
    <row r="105" spans="1:26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</row>
    <row r="106" spans="1:26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</row>
    <row r="107" spans="1:26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</row>
    <row r="108" spans="1:26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26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</row>
    <row r="111" spans="1:26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</row>
    <row r="112" spans="1:26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</row>
    <row r="113" spans="1:26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</row>
    <row r="114" spans="1:26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</row>
    <row r="116" spans="1:26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</row>
    <row r="117" spans="1:26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</row>
    <row r="118" spans="1:26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</row>
    <row r="119" spans="1:26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</row>
    <row r="120" spans="1:26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26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</row>
    <row r="122" spans="1:26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</row>
    <row r="123" spans="1:26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</row>
    <row r="124" spans="1:26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</row>
    <row r="125" spans="1:26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</row>
    <row r="126" spans="1:26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</row>
    <row r="127" spans="1:26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</row>
    <row r="128" spans="1:26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</row>
    <row r="129" spans="1:26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</row>
    <row r="130" spans="1:26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</row>
    <row r="131" spans="1:26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</row>
    <row r="132" spans="1:26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</row>
    <row r="133" spans="1:26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</row>
    <row r="134" spans="1:26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</row>
    <row r="135" spans="1:26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</row>
    <row r="136" spans="1:26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</row>
    <row r="137" spans="1:26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</row>
    <row r="138" spans="1:26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</row>
    <row r="139" spans="1:26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</row>
    <row r="140" spans="1:26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</row>
    <row r="141" spans="1:26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</row>
    <row r="142" spans="1:26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</row>
    <row r="143" spans="1:26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</row>
    <row r="144" spans="1:26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</row>
    <row r="145" spans="1:26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</row>
    <row r="146" spans="1:26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</row>
    <row r="147" spans="1:26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</row>
    <row r="148" spans="1:26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</row>
    <row r="149" spans="1:26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</row>
    <row r="150" spans="1:26">
      <c r="A150" s="82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</row>
    <row r="151" spans="1:26">
      <c r="A151" s="82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</row>
    <row r="152" spans="1:26">
      <c r="A152" s="82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</row>
    <row r="153" spans="1:26">
      <c r="A153" s="82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</row>
    <row r="154" spans="1:26">
      <c r="A154" s="82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</row>
    <row r="155" spans="1:26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>
      <c r="A156" s="82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</row>
    <row r="157" spans="1:26">
      <c r="A157" s="82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</row>
    <row r="158" spans="1:26">
      <c r="A158" s="82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</row>
    <row r="159" spans="1:26">
      <c r="A159" s="82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</row>
    <row r="160" spans="1:26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</row>
    <row r="161" spans="1:26">
      <c r="A161" s="82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</row>
    <row r="162" spans="1:26">
      <c r="A162" s="82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</row>
    <row r="163" spans="1:26">
      <c r="A163" s="82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</row>
    <row r="164" spans="1:26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>
      <c r="A165" s="82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</row>
    <row r="166" spans="1:26">
      <c r="A166" s="82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</row>
    <row r="167" spans="1:26">
      <c r="A167" s="82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</row>
    <row r="168" spans="1:26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</row>
    <row r="169" spans="1:26">
      <c r="A169" s="82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</row>
    <row r="170" spans="1:26">
      <c r="A170" s="82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</row>
    <row r="171" spans="1:26">
      <c r="A171" s="82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</row>
    <row r="172" spans="1:26">
      <c r="A172" s="82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>
      <c r="A173" s="82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>
      <c r="A174" s="82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>
      <c r="A176" s="82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>
      <c r="A177" s="82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>
      <c r="A178" s="82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>
      <c r="A180" s="82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>
      <c r="A182" s="82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>
      <c r="A183" s="82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>
      <c r="A184" s="82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>
      <c r="A185" s="82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>
      <c r="A186" s="82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>
      <c r="A187" s="82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>
      <c r="A188" s="82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</row>
    <row r="189" spans="1:26">
      <c r="A189" s="82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</row>
    <row r="190" spans="1:26">
      <c r="A190" s="82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</row>
    <row r="191" spans="1:26">
      <c r="A191" s="82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</row>
    <row r="192" spans="1:26">
      <c r="A192" s="82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</row>
    <row r="193" spans="1:26">
      <c r="A193" s="82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</row>
    <row r="194" spans="1:26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</row>
    <row r="195" spans="1:26">
      <c r="A195" s="82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</row>
    <row r="196" spans="1:26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</row>
    <row r="197" spans="1:26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</row>
    <row r="198" spans="1:26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</row>
    <row r="199" spans="1:26">
      <c r="A199" s="82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</row>
    <row r="200" spans="1:26">
      <c r="A200" s="82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</row>
    <row r="201" spans="1:26">
      <c r="A201" s="82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</row>
    <row r="202" spans="1:26">
      <c r="A202" s="82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</row>
    <row r="203" spans="1:26">
      <c r="A203" s="82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</row>
    <row r="204" spans="1:26">
      <c r="A204" s="82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</row>
    <row r="205" spans="1:26">
      <c r="A205" s="82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</row>
    <row r="206" spans="1:26">
      <c r="A206" s="82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</row>
    <row r="207" spans="1:26">
      <c r="A207" s="82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</row>
    <row r="208" spans="1:26">
      <c r="A208" s="82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</row>
    <row r="209" spans="1:26">
      <c r="A209" s="82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</row>
    <row r="210" spans="1:26">
      <c r="A210" s="82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</row>
    <row r="211" spans="1:26">
      <c r="A211" s="82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</row>
    <row r="212" spans="1:26">
      <c r="A212" s="82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</row>
    <row r="213" spans="1:26">
      <c r="A213" s="82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</row>
    <row r="214" spans="1:26">
      <c r="A214" s="82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</row>
    <row r="215" spans="1:26">
      <c r="A215" s="82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</row>
    <row r="216" spans="1:26">
      <c r="A216" s="82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</row>
    <row r="217" spans="1:26">
      <c r="A217" s="82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</row>
    <row r="218" spans="1:26">
      <c r="A218" s="82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</row>
    <row r="219" spans="1:26">
      <c r="A219" s="82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</row>
    <row r="220" spans="1:26">
      <c r="A220" s="82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</row>
    <row r="221" spans="1:26">
      <c r="A221" s="82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</row>
    <row r="222" spans="1:26">
      <c r="A222" s="82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</row>
    <row r="223" spans="1:26">
      <c r="A223" s="82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</row>
    <row r="224" spans="1:26">
      <c r="A224" s="82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</row>
    <row r="225" spans="1:26">
      <c r="A225" s="82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</row>
    <row r="226" spans="1:26">
      <c r="A226" s="82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</row>
    <row r="227" spans="1:26">
      <c r="A227" s="82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</row>
    <row r="228" spans="1:26">
      <c r="A228" s="82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</row>
    <row r="229" spans="1:26">
      <c r="A229" s="82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</row>
    <row r="230" spans="1:26">
      <c r="A230" s="82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</row>
    <row r="231" spans="1:26">
      <c r="A231" s="82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</row>
    <row r="232" spans="1:26">
      <c r="A232" s="82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</row>
    <row r="233" spans="1:26">
      <c r="A233" s="82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</row>
    <row r="234" spans="1:26">
      <c r="A234" s="82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</row>
    <row r="235" spans="1:26">
      <c r="A235" s="82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</row>
    <row r="236" spans="1:26">
      <c r="A236" s="82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</row>
    <row r="237" spans="1:26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</row>
    <row r="238" spans="1:26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</row>
    <row r="239" spans="1:26">
      <c r="A239" s="82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</row>
    <row r="240" spans="1:26">
      <c r="A240" s="82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</row>
    <row r="241" spans="1:26">
      <c r="A241" s="82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</row>
    <row r="242" spans="1:26">
      <c r="A242" s="82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</row>
    <row r="243" spans="1:26">
      <c r="A243" s="82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</row>
    <row r="244" spans="1:26">
      <c r="A244" s="82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</row>
    <row r="245" spans="1:26">
      <c r="A245" s="82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</row>
    <row r="246" spans="1:26">
      <c r="A246" s="82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</row>
    <row r="247" spans="1:26">
      <c r="A247" s="82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</row>
    <row r="248" spans="1:26">
      <c r="A248" s="82"/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</row>
    <row r="249" spans="1:26">
      <c r="A249" s="82"/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</row>
    <row r="250" spans="1:26">
      <c r="A250" s="82"/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</row>
    <row r="251" spans="1:26">
      <c r="A251" s="82"/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</row>
    <row r="252" spans="1:26">
      <c r="A252" s="82"/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</row>
    <row r="253" spans="1:26">
      <c r="A253" s="82"/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</row>
    <row r="254" spans="1:26">
      <c r="A254" s="82"/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</row>
    <row r="255" spans="1:26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</row>
    <row r="256" spans="1:26">
      <c r="A256" s="82"/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</row>
    <row r="257" spans="1:26">
      <c r="A257" s="82"/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</row>
    <row r="258" spans="1:26">
      <c r="A258" s="82"/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</row>
    <row r="259" spans="1:26">
      <c r="A259" s="82"/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</row>
    <row r="260" spans="1:26">
      <c r="A260" s="82"/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</row>
    <row r="261" spans="1:26">
      <c r="A261" s="82"/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</row>
    <row r="262" spans="1:26">
      <c r="A262" s="82"/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</row>
    <row r="263" spans="1:26">
      <c r="A263" s="82"/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</row>
    <row r="264" spans="1:26">
      <c r="A264" s="82"/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</row>
    <row r="265" spans="1:26">
      <c r="A265" s="82"/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</row>
    <row r="266" spans="1:26">
      <c r="A266" s="82"/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</row>
    <row r="267" spans="1:26">
      <c r="A267" s="82"/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</row>
    <row r="268" spans="1:26">
      <c r="A268" s="82"/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</row>
    <row r="269" spans="1:26">
      <c r="A269" s="82"/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</row>
    <row r="270" spans="1:26">
      <c r="A270" s="82"/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</row>
    <row r="271" spans="1:26">
      <c r="A271" s="82"/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</row>
    <row r="272" spans="1:26">
      <c r="A272" s="82"/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</row>
    <row r="273" spans="1:26">
      <c r="A273" s="82"/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</row>
    <row r="274" spans="1:26">
      <c r="A274" s="82"/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</row>
    <row r="275" spans="1:26">
      <c r="A275" s="82"/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</row>
    <row r="276" spans="1:26">
      <c r="A276" s="82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</row>
    <row r="277" spans="1:26">
      <c r="A277" s="82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</row>
    <row r="278" spans="1:26">
      <c r="A278" s="82"/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</row>
    <row r="279" spans="1:26">
      <c r="A279" s="82"/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</row>
    <row r="280" spans="1:26">
      <c r="A280" s="82"/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</row>
    <row r="281" spans="1:26">
      <c r="A281" s="82"/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</row>
    <row r="282" spans="1:26">
      <c r="A282" s="82"/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</row>
    <row r="283" spans="1:26">
      <c r="A283" s="82"/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</row>
    <row r="284" spans="1:26">
      <c r="A284" s="82"/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</row>
    <row r="285" spans="1:26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</row>
    <row r="286" spans="1:26">
      <c r="A286" s="82"/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</row>
    <row r="287" spans="1:26">
      <c r="A287" s="82"/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</row>
    <row r="288" spans="1:26">
      <c r="A288" s="82"/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</row>
    <row r="289" spans="1:26">
      <c r="A289" s="82"/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</row>
    <row r="290" spans="1:26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</row>
    <row r="291" spans="1:26">
      <c r="A291" s="82"/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</row>
    <row r="292" spans="1:26">
      <c r="A292" s="82"/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</row>
    <row r="293" spans="1:26">
      <c r="A293" s="82"/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</row>
    <row r="294" spans="1:26">
      <c r="A294" s="82"/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</row>
    <row r="295" spans="1:26">
      <c r="A295" s="82"/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</row>
    <row r="296" spans="1:26">
      <c r="A296" s="82"/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</row>
    <row r="297" spans="1:26">
      <c r="A297" s="82"/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</row>
    <row r="298" spans="1:26">
      <c r="A298" s="82"/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</row>
    <row r="299" spans="1:26">
      <c r="A299" s="82"/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</row>
    <row r="300" spans="1:26">
      <c r="A300" s="82"/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</row>
    <row r="301" spans="1:26">
      <c r="A301" s="82"/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</row>
    <row r="302" spans="1:26">
      <c r="A302" s="82"/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</row>
    <row r="303" spans="1:26">
      <c r="A303" s="82"/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</row>
    <row r="304" spans="1:26">
      <c r="A304" s="82"/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</row>
    <row r="305" spans="1:26">
      <c r="A305" s="82"/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</row>
    <row r="306" spans="1:26">
      <c r="A306" s="82"/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</row>
    <row r="307" spans="1:26">
      <c r="A307" s="82"/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</row>
    <row r="308" spans="1:26">
      <c r="A308" s="82"/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</row>
    <row r="309" spans="1:26">
      <c r="A309" s="82"/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</row>
    <row r="310" spans="1:26">
      <c r="A310" s="82"/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</row>
    <row r="311" spans="1:26">
      <c r="A311" s="82"/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</row>
    <row r="312" spans="1:26">
      <c r="A312" s="82"/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</row>
    <row r="313" spans="1:26">
      <c r="A313" s="82"/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</row>
    <row r="314" spans="1:26">
      <c r="A314" s="82"/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</row>
    <row r="315" spans="1:26">
      <c r="A315" s="82"/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</row>
    <row r="316" spans="1:26">
      <c r="A316" s="82"/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</row>
    <row r="317" spans="1:26">
      <c r="A317" s="82"/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</row>
    <row r="318" spans="1:26">
      <c r="A318" s="82"/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</row>
    <row r="319" spans="1:26">
      <c r="A319" s="82"/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</row>
    <row r="320" spans="1:26">
      <c r="A320" s="82"/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</row>
    <row r="321" spans="1:26">
      <c r="A321" s="82"/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</row>
    <row r="322" spans="1:26">
      <c r="A322" s="82"/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</row>
    <row r="323" spans="1:26">
      <c r="A323" s="82"/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</row>
    <row r="324" spans="1:26">
      <c r="A324" s="82"/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</row>
    <row r="325" spans="1:26">
      <c r="A325" s="82"/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</row>
    <row r="326" spans="1:26">
      <c r="A326" s="82"/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</row>
    <row r="327" spans="1:26">
      <c r="A327" s="82"/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</row>
    <row r="328" spans="1:26">
      <c r="A328" s="82"/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</row>
    <row r="329" spans="1:26">
      <c r="A329" s="82"/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</row>
    <row r="330" spans="1:26">
      <c r="A330" s="82"/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</row>
    <row r="331" spans="1:26">
      <c r="A331" s="82"/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</row>
    <row r="332" spans="1:26">
      <c r="A332" s="82"/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</row>
    <row r="333" spans="1:26">
      <c r="A333" s="82"/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</row>
    <row r="334" spans="1:26">
      <c r="A334" s="82"/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</row>
    <row r="335" spans="1:26">
      <c r="A335" s="82"/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</row>
    <row r="336" spans="1:26">
      <c r="A336" s="82"/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</row>
    <row r="337" spans="1:26">
      <c r="A337" s="82"/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>
      <c r="A338" s="82"/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</row>
    <row r="339" spans="1:26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</row>
    <row r="340" spans="1:26">
      <c r="A340" s="82"/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</row>
    <row r="341" spans="1:26">
      <c r="A341" s="82"/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</row>
    <row r="342" spans="1:26">
      <c r="A342" s="82"/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</row>
    <row r="343" spans="1:26">
      <c r="A343" s="82"/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</row>
    <row r="344" spans="1:26">
      <c r="A344" s="82"/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</row>
    <row r="345" spans="1:26">
      <c r="A345" s="82"/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</row>
    <row r="346" spans="1:26">
      <c r="A346" s="82"/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</row>
    <row r="347" spans="1:26">
      <c r="A347" s="82"/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</row>
    <row r="348" spans="1:26">
      <c r="A348" s="82"/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</row>
    <row r="349" spans="1:26">
      <c r="A349" s="82"/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</row>
    <row r="350" spans="1:26">
      <c r="A350" s="82"/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</row>
    <row r="351" spans="1:26">
      <c r="A351" s="82"/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</row>
    <row r="352" spans="1:26">
      <c r="A352" s="82"/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</row>
    <row r="353" spans="1:26">
      <c r="A353" s="82"/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</row>
    <row r="354" spans="1:26">
      <c r="A354" s="82"/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</row>
    <row r="355" spans="1:26">
      <c r="A355" s="82"/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</row>
    <row r="356" spans="1:26">
      <c r="A356" s="82"/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</row>
    <row r="357" spans="1:26">
      <c r="A357" s="82"/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>
      <c r="A358" s="82"/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</row>
    <row r="359" spans="1:26">
      <c r="A359" s="82"/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</row>
    <row r="360" spans="1:26">
      <c r="A360" s="82"/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</row>
    <row r="361" spans="1:26">
      <c r="A361" s="82"/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</row>
    <row r="362" spans="1:26">
      <c r="A362" s="82"/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</row>
    <row r="363" spans="1:26">
      <c r="A363" s="82"/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</row>
    <row r="364" spans="1:26">
      <c r="A364" s="82"/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</row>
    <row r="365" spans="1:26">
      <c r="A365" s="82"/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</row>
    <row r="366" spans="1:26">
      <c r="A366" s="82"/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</row>
    <row r="367" spans="1:26">
      <c r="A367" s="82"/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</row>
    <row r="368" spans="1:26">
      <c r="A368" s="82"/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</row>
    <row r="369" spans="1:26">
      <c r="A369" s="82"/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</row>
    <row r="370" spans="1:26">
      <c r="A370" s="82"/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</row>
    <row r="371" spans="1:26">
      <c r="A371" s="82"/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</row>
    <row r="372" spans="1:26">
      <c r="A372" s="82"/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</row>
    <row r="373" spans="1:26">
      <c r="A373" s="82"/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</row>
    <row r="374" spans="1:26">
      <c r="A374" s="82"/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</row>
    <row r="375" spans="1:26">
      <c r="A375" s="82"/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</row>
    <row r="376" spans="1:26">
      <c r="A376" s="82"/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</row>
    <row r="377" spans="1:26">
      <c r="A377" s="82"/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</row>
    <row r="378" spans="1:26">
      <c r="A378" s="82"/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</row>
    <row r="379" spans="1:26">
      <c r="A379" s="82"/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</row>
    <row r="380" spans="1:26">
      <c r="A380" s="82"/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</row>
    <row r="381" spans="1:26">
      <c r="A381" s="82"/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</row>
    <row r="382" spans="1:26">
      <c r="A382" s="82"/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</row>
    <row r="383" spans="1:26">
      <c r="A383" s="82"/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</row>
    <row r="384" spans="1:26">
      <c r="A384" s="82"/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</row>
    <row r="385" spans="1:26">
      <c r="A385" s="82"/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</row>
    <row r="386" spans="1:26">
      <c r="A386" s="82"/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</row>
    <row r="387" spans="1:26">
      <c r="A387" s="82"/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</row>
    <row r="388" spans="1:26">
      <c r="A388" s="82"/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</row>
    <row r="389" spans="1:26">
      <c r="A389" s="82"/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</row>
    <row r="390" spans="1:26">
      <c r="A390" s="82"/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</row>
    <row r="391" spans="1:26">
      <c r="A391" s="82"/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</row>
    <row r="392" spans="1:26">
      <c r="A392" s="82"/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</row>
    <row r="393" spans="1:26">
      <c r="A393" s="82"/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</row>
    <row r="394" spans="1:26">
      <c r="A394" s="82"/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</row>
    <row r="395" spans="1:26">
      <c r="A395" s="82"/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</row>
    <row r="396" spans="1:26">
      <c r="A396" s="82"/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</row>
    <row r="397" spans="1:26">
      <c r="A397" s="82"/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</row>
    <row r="398" spans="1:26">
      <c r="A398" s="82"/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</row>
    <row r="399" spans="1:26">
      <c r="A399" s="82"/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</row>
    <row r="400" spans="1:26">
      <c r="A400" s="82"/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</row>
    <row r="401" spans="1:26">
      <c r="A401" s="82"/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</row>
    <row r="402" spans="1:26">
      <c r="A402" s="82"/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</row>
    <row r="403" spans="1:26">
      <c r="A403" s="82"/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</row>
    <row r="404" spans="1:26">
      <c r="A404" s="82"/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</row>
    <row r="405" spans="1:26">
      <c r="A405" s="82"/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</row>
    <row r="406" spans="1:26">
      <c r="A406" s="82"/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</row>
    <row r="407" spans="1:26">
      <c r="A407" s="82"/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</row>
    <row r="408" spans="1:26">
      <c r="A408" s="82"/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</row>
    <row r="409" spans="1:26">
      <c r="A409" s="82"/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</row>
    <row r="410" spans="1:26">
      <c r="A410" s="82"/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</row>
    <row r="411" spans="1:26">
      <c r="A411" s="82"/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</row>
    <row r="412" spans="1:26">
      <c r="A412" s="82"/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</row>
    <row r="413" spans="1:26">
      <c r="A413" s="82"/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</row>
    <row r="414" spans="1:26">
      <c r="A414" s="82"/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</row>
    <row r="415" spans="1:26">
      <c r="A415" s="82"/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</row>
    <row r="416" spans="1:26">
      <c r="A416" s="82"/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</row>
    <row r="417" spans="1:26">
      <c r="A417" s="82"/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</row>
    <row r="418" spans="1:26">
      <c r="A418" s="82"/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</row>
    <row r="419" spans="1:26">
      <c r="A419" s="82"/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</row>
    <row r="420" spans="1:26">
      <c r="A420" s="82"/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</row>
    <row r="421" spans="1:26">
      <c r="A421" s="82"/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</row>
    <row r="422" spans="1:26">
      <c r="A422" s="82"/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</row>
    <row r="423" spans="1:26">
      <c r="A423" s="82"/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</row>
    <row r="424" spans="1:26">
      <c r="A424" s="82"/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</row>
    <row r="425" spans="1:26">
      <c r="A425" s="82"/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</row>
    <row r="426" spans="1:26">
      <c r="A426" s="82"/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</row>
    <row r="427" spans="1:26">
      <c r="A427" s="82"/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</row>
    <row r="428" spans="1:26">
      <c r="A428" s="82"/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</row>
    <row r="429" spans="1:26">
      <c r="A429" s="82"/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</row>
    <row r="430" spans="1:26">
      <c r="A430" s="82"/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</row>
    <row r="431" spans="1:26">
      <c r="A431" s="82"/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</row>
    <row r="432" spans="1:26">
      <c r="A432" s="82"/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</row>
    <row r="433" spans="1:26">
      <c r="A433" s="82"/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</row>
    <row r="434" spans="1:26">
      <c r="A434" s="82"/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</row>
    <row r="435" spans="1:26">
      <c r="A435" s="82"/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</row>
    <row r="436" spans="1:26">
      <c r="A436" s="82"/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</row>
    <row r="437" spans="1:26">
      <c r="A437" s="82"/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</row>
    <row r="438" spans="1:26">
      <c r="A438" s="82"/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</row>
    <row r="439" spans="1:26">
      <c r="A439" s="82"/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</row>
    <row r="440" spans="1:26">
      <c r="A440" s="82"/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</row>
    <row r="441" spans="1:26">
      <c r="A441" s="82"/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</row>
    <row r="442" spans="1:26">
      <c r="A442" s="82"/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</row>
    <row r="443" spans="1:26">
      <c r="A443" s="82"/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</row>
    <row r="444" spans="1:26">
      <c r="A444" s="82"/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</row>
    <row r="445" spans="1:26">
      <c r="A445" s="82"/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</row>
    <row r="446" spans="1:26">
      <c r="A446" s="82"/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</row>
    <row r="447" spans="1:26">
      <c r="A447" s="82"/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</row>
    <row r="448" spans="1:26">
      <c r="A448" s="82"/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</row>
    <row r="449" spans="1:26">
      <c r="A449" s="82"/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</row>
    <row r="450" spans="1:26">
      <c r="A450" s="82"/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</row>
    <row r="451" spans="1:26">
      <c r="A451" s="82"/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</row>
    <row r="452" spans="1:26">
      <c r="A452" s="82"/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</row>
    <row r="453" spans="1:26">
      <c r="A453" s="82"/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</row>
    <row r="454" spans="1:26">
      <c r="A454" s="82"/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</row>
    <row r="455" spans="1:26">
      <c r="A455" s="82"/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</row>
    <row r="456" spans="1:26">
      <c r="A456" s="82"/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</row>
    <row r="457" spans="1:26">
      <c r="A457" s="82"/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</row>
    <row r="458" spans="1:26">
      <c r="A458" s="82"/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</row>
    <row r="459" spans="1:26">
      <c r="A459" s="82"/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</row>
    <row r="460" spans="1:26">
      <c r="A460" s="82"/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</row>
    <row r="461" spans="1:26">
      <c r="A461" s="82"/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</row>
    <row r="462" spans="1:26">
      <c r="A462" s="82"/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</row>
    <row r="463" spans="1:26">
      <c r="A463" s="82"/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</row>
    <row r="464" spans="1:26">
      <c r="A464" s="82"/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</row>
    <row r="465" spans="1:26">
      <c r="A465" s="82"/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</row>
    <row r="466" spans="1:26">
      <c r="A466" s="82"/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</row>
    <row r="467" spans="1:26">
      <c r="A467" s="82"/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</row>
    <row r="468" spans="1:26">
      <c r="A468" s="82"/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</row>
    <row r="469" spans="1:26">
      <c r="A469" s="82"/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</row>
    <row r="470" spans="1:26">
      <c r="A470" s="82"/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</row>
    <row r="471" spans="1:26">
      <c r="A471" s="82"/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</row>
    <row r="472" spans="1:26">
      <c r="A472" s="82"/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</row>
    <row r="473" spans="1:26">
      <c r="A473" s="82"/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</row>
    <row r="474" spans="1:26">
      <c r="A474" s="82"/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</row>
    <row r="475" spans="1:26">
      <c r="A475" s="82"/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</row>
    <row r="476" spans="1:26">
      <c r="A476" s="82"/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</row>
    <row r="477" spans="1:26">
      <c r="A477" s="82"/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</row>
    <row r="478" spans="1:26">
      <c r="A478" s="82"/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</row>
    <row r="479" spans="1:26">
      <c r="A479" s="82"/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</row>
    <row r="480" spans="1:26">
      <c r="A480" s="82"/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</row>
    <row r="481" spans="1:26">
      <c r="A481" s="82"/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</row>
    <row r="482" spans="1:26">
      <c r="A482" s="82"/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</row>
    <row r="483" spans="1:26">
      <c r="A483" s="82"/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</row>
    <row r="484" spans="1:26">
      <c r="A484" s="82"/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</row>
    <row r="485" spans="1:26">
      <c r="A485" s="82"/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</row>
    <row r="486" spans="1:26">
      <c r="A486" s="82"/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</row>
    <row r="487" spans="1:26">
      <c r="A487" s="82"/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</row>
    <row r="488" spans="1:26">
      <c r="A488" s="82"/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</row>
    <row r="489" spans="1:26">
      <c r="A489" s="82"/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</row>
    <row r="490" spans="1:26">
      <c r="A490" s="82"/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</row>
    <row r="491" spans="1:26">
      <c r="A491" s="82"/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</row>
    <row r="492" spans="1:26">
      <c r="A492" s="82"/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</row>
    <row r="493" spans="1:26">
      <c r="A493" s="82"/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</row>
    <row r="494" spans="1:26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</row>
    <row r="495" spans="1:26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</row>
    <row r="496" spans="1:26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</row>
    <row r="497" spans="1:26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</row>
    <row r="498" spans="1:26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</row>
    <row r="499" spans="1:26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</row>
    <row r="500" spans="1:26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</row>
    <row r="501" spans="1:26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</row>
    <row r="502" spans="1:26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</row>
    <row r="503" spans="1:26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</row>
    <row r="504" spans="1:26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</row>
    <row r="505" spans="1:26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82"/>
      <c r="X505" s="82"/>
      <c r="Y505" s="82"/>
      <c r="Z505" s="82"/>
    </row>
    <row r="506" spans="1:26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82"/>
      <c r="X506" s="82"/>
      <c r="Y506" s="82"/>
      <c r="Z506" s="82"/>
    </row>
    <row r="507" spans="1:26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82"/>
      <c r="X507" s="82"/>
      <c r="Y507" s="82"/>
      <c r="Z507" s="82"/>
    </row>
    <row r="508" spans="1:26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82"/>
      <c r="X508" s="82"/>
      <c r="Y508" s="82"/>
      <c r="Z508" s="82"/>
    </row>
    <row r="509" spans="1:26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82"/>
      <c r="X509" s="82"/>
      <c r="Y509" s="82"/>
      <c r="Z509" s="82"/>
    </row>
    <row r="510" spans="1:26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82"/>
      <c r="X511" s="82"/>
      <c r="Y511" s="82"/>
      <c r="Z511" s="82"/>
    </row>
    <row r="512" spans="1:26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82"/>
      <c r="X512" s="82"/>
      <c r="Y512" s="82"/>
      <c r="Z512" s="82"/>
    </row>
    <row r="513" spans="1:26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82"/>
      <c r="X513" s="82"/>
      <c r="Y513" s="82"/>
      <c r="Z513" s="82"/>
    </row>
    <row r="514" spans="1:26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82"/>
      <c r="X514" s="82"/>
      <c r="Y514" s="82"/>
      <c r="Z514" s="82"/>
    </row>
    <row r="515" spans="1:26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82"/>
      <c r="X515" s="82"/>
      <c r="Y515" s="82"/>
      <c r="Z515" s="82"/>
    </row>
    <row r="516" spans="1:26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82"/>
      <c r="X516" s="82"/>
      <c r="Y516" s="82"/>
      <c r="Z516" s="82"/>
    </row>
    <row r="517" spans="1:26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82"/>
      <c r="X517" s="82"/>
      <c r="Y517" s="82"/>
      <c r="Z517" s="82"/>
    </row>
    <row r="518" spans="1:26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82"/>
      <c r="X518" s="82"/>
      <c r="Y518" s="82"/>
      <c r="Z518" s="82"/>
    </row>
    <row r="519" spans="1:26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82"/>
      <c r="X519" s="82"/>
      <c r="Y519" s="82"/>
      <c r="Z519" s="82"/>
    </row>
    <row r="520" spans="1:26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82"/>
      <c r="X520" s="82"/>
      <c r="Y520" s="82"/>
      <c r="Z520" s="82"/>
    </row>
    <row r="521" spans="1:26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82"/>
      <c r="X521" s="82"/>
      <c r="Y521" s="82"/>
      <c r="Z521" s="82"/>
    </row>
    <row r="522" spans="1:26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82"/>
      <c r="X522" s="82"/>
      <c r="Y522" s="82"/>
      <c r="Z522" s="82"/>
    </row>
    <row r="523" spans="1:26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82"/>
      <c r="X523" s="82"/>
      <c r="Y523" s="82"/>
      <c r="Z523" s="82"/>
    </row>
    <row r="524" spans="1:26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82"/>
      <c r="X524" s="82"/>
      <c r="Y524" s="82"/>
      <c r="Z524" s="82"/>
    </row>
    <row r="525" spans="1:26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82"/>
      <c r="X525" s="82"/>
      <c r="Y525" s="82"/>
      <c r="Z525" s="82"/>
    </row>
    <row r="526" spans="1:26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82"/>
      <c r="X526" s="82"/>
      <c r="Y526" s="82"/>
      <c r="Z526" s="82"/>
    </row>
    <row r="527" spans="1:26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82"/>
      <c r="X527" s="82"/>
      <c r="Y527" s="82"/>
      <c r="Z527" s="82"/>
    </row>
    <row r="528" spans="1:26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82"/>
      <c r="X528" s="82"/>
      <c r="Y528" s="82"/>
      <c r="Z528" s="82"/>
    </row>
    <row r="529" spans="1:26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82"/>
      <c r="X529" s="82"/>
      <c r="Y529" s="82"/>
      <c r="Z529" s="82"/>
    </row>
    <row r="530" spans="1:26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82"/>
      <c r="X530" s="82"/>
      <c r="Y530" s="82"/>
      <c r="Z530" s="82"/>
    </row>
    <row r="531" spans="1:26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82"/>
      <c r="X531" s="82"/>
      <c r="Y531" s="82"/>
      <c r="Z531" s="82"/>
    </row>
    <row r="532" spans="1:26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82"/>
      <c r="X532" s="82"/>
      <c r="Y532" s="82"/>
      <c r="Z532" s="82"/>
    </row>
    <row r="533" spans="1:26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82"/>
      <c r="X533" s="82"/>
      <c r="Y533" s="82"/>
      <c r="Z533" s="82"/>
    </row>
    <row r="534" spans="1:26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82"/>
      <c r="X534" s="82"/>
      <c r="Y534" s="82"/>
      <c r="Z534" s="82"/>
    </row>
    <row r="535" spans="1:26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82"/>
      <c r="X535" s="82"/>
      <c r="Y535" s="82"/>
      <c r="Z535" s="82"/>
    </row>
    <row r="536" spans="1:26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82"/>
      <c r="X536" s="82"/>
      <c r="Y536" s="82"/>
      <c r="Z536" s="82"/>
    </row>
    <row r="537" spans="1:26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82"/>
      <c r="X537" s="82"/>
      <c r="Y537" s="82"/>
      <c r="Z537" s="82"/>
    </row>
    <row r="538" spans="1:26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82"/>
      <c r="X538" s="82"/>
      <c r="Y538" s="82"/>
      <c r="Z538" s="82"/>
    </row>
    <row r="539" spans="1:26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82"/>
      <c r="X539" s="82"/>
      <c r="Y539" s="82"/>
      <c r="Z539" s="82"/>
    </row>
    <row r="540" spans="1:26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82"/>
      <c r="X540" s="82"/>
      <c r="Y540" s="82"/>
      <c r="Z540" s="82"/>
    </row>
    <row r="541" spans="1:26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82"/>
      <c r="X541" s="82"/>
      <c r="Y541" s="82"/>
      <c r="Z541" s="82"/>
    </row>
    <row r="542" spans="1:26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82"/>
      <c r="X542" s="82"/>
      <c r="Y542" s="82"/>
      <c r="Z542" s="82"/>
    </row>
    <row r="543" spans="1:26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82"/>
      <c r="X543" s="82"/>
      <c r="Y543" s="82"/>
      <c r="Z543" s="82"/>
    </row>
    <row r="544" spans="1:26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82"/>
      <c r="X544" s="82"/>
      <c r="Y544" s="82"/>
      <c r="Z544" s="82"/>
    </row>
    <row r="545" spans="1:26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82"/>
      <c r="X545" s="82"/>
      <c r="Y545" s="82"/>
      <c r="Z545" s="82"/>
    </row>
    <row r="546" spans="1:26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82"/>
      <c r="X546" s="82"/>
      <c r="Y546" s="82"/>
      <c r="Z546" s="82"/>
    </row>
    <row r="547" spans="1:26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82"/>
      <c r="X547" s="82"/>
      <c r="Y547" s="82"/>
      <c r="Z547" s="82"/>
    </row>
    <row r="548" spans="1:26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82"/>
      <c r="X548" s="82"/>
      <c r="Y548" s="82"/>
      <c r="Z548" s="82"/>
    </row>
    <row r="549" spans="1:26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82"/>
      <c r="X549" s="82"/>
      <c r="Y549" s="82"/>
      <c r="Z549" s="82"/>
    </row>
    <row r="550" spans="1:26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82"/>
      <c r="X550" s="82"/>
      <c r="Y550" s="82"/>
      <c r="Z550" s="82"/>
    </row>
    <row r="551" spans="1:26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82"/>
      <c r="X551" s="82"/>
      <c r="Y551" s="82"/>
      <c r="Z551" s="82"/>
    </row>
    <row r="552" spans="1:26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82"/>
      <c r="X552" s="82"/>
      <c r="Y552" s="82"/>
      <c r="Z552" s="82"/>
    </row>
    <row r="553" spans="1:26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82"/>
      <c r="X553" s="82"/>
      <c r="Y553" s="82"/>
      <c r="Z553" s="82"/>
    </row>
    <row r="554" spans="1:26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82"/>
      <c r="X554" s="82"/>
      <c r="Y554" s="82"/>
      <c r="Z554" s="82"/>
    </row>
    <row r="555" spans="1:26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82"/>
      <c r="X555" s="82"/>
      <c r="Y555" s="82"/>
      <c r="Z555" s="82"/>
    </row>
    <row r="556" spans="1:26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82"/>
      <c r="X556" s="82"/>
      <c r="Y556" s="82"/>
      <c r="Z556" s="82"/>
    </row>
    <row r="557" spans="1:26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82"/>
      <c r="X557" s="82"/>
      <c r="Y557" s="82"/>
      <c r="Z557" s="82"/>
    </row>
    <row r="558" spans="1:26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82"/>
      <c r="X558" s="82"/>
      <c r="Y558" s="82"/>
      <c r="Z558" s="82"/>
    </row>
    <row r="559" spans="1:26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82"/>
      <c r="X559" s="82"/>
      <c r="Y559" s="82"/>
      <c r="Z559" s="82"/>
    </row>
    <row r="560" spans="1:26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82"/>
      <c r="X560" s="82"/>
      <c r="Y560" s="82"/>
      <c r="Z560" s="82"/>
    </row>
    <row r="561" spans="1:26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82"/>
      <c r="X561" s="82"/>
      <c r="Y561" s="82"/>
      <c r="Z561" s="82"/>
    </row>
    <row r="562" spans="1:26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82"/>
      <c r="X562" s="82"/>
      <c r="Y562" s="82"/>
      <c r="Z562" s="82"/>
    </row>
    <row r="563" spans="1:26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82"/>
      <c r="X563" s="82"/>
      <c r="Y563" s="82"/>
      <c r="Z563" s="82"/>
    </row>
    <row r="564" spans="1:26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82"/>
      <c r="X564" s="82"/>
      <c r="Y564" s="82"/>
      <c r="Z564" s="82"/>
    </row>
    <row r="565" spans="1:26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82"/>
      <c r="X565" s="82"/>
      <c r="Y565" s="82"/>
      <c r="Z565" s="82"/>
    </row>
    <row r="566" spans="1:26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82"/>
      <c r="X566" s="82"/>
      <c r="Y566" s="82"/>
      <c r="Z566" s="82"/>
    </row>
    <row r="567" spans="1:26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82"/>
      <c r="X567" s="82"/>
      <c r="Y567" s="82"/>
      <c r="Z567" s="82"/>
    </row>
    <row r="568" spans="1:26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82"/>
      <c r="X568" s="82"/>
      <c r="Y568" s="82"/>
      <c r="Z568" s="82"/>
    </row>
    <row r="569" spans="1:26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82"/>
      <c r="X569" s="82"/>
      <c r="Y569" s="82"/>
      <c r="Z569" s="82"/>
    </row>
    <row r="570" spans="1:26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82"/>
      <c r="X570" s="82"/>
      <c r="Y570" s="82"/>
      <c r="Z570" s="82"/>
    </row>
    <row r="571" spans="1:26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82"/>
      <c r="X571" s="82"/>
      <c r="Y571" s="82"/>
      <c r="Z571" s="82"/>
    </row>
    <row r="572" spans="1:26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82"/>
      <c r="X572" s="82"/>
      <c r="Y572" s="82"/>
      <c r="Z572" s="82"/>
    </row>
    <row r="573" spans="1:26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82"/>
      <c r="X573" s="82"/>
      <c r="Y573" s="82"/>
      <c r="Z573" s="82"/>
    </row>
    <row r="574" spans="1:26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82"/>
      <c r="X574" s="82"/>
      <c r="Y574" s="82"/>
      <c r="Z574" s="82"/>
    </row>
    <row r="575" spans="1:26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82"/>
      <c r="X575" s="82"/>
      <c r="Y575" s="82"/>
      <c r="Z575" s="82"/>
    </row>
    <row r="576" spans="1:26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82"/>
      <c r="X576" s="82"/>
      <c r="Y576" s="82"/>
      <c r="Z576" s="82"/>
    </row>
    <row r="577" spans="1:26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82"/>
      <c r="X577" s="82"/>
      <c r="Y577" s="82"/>
      <c r="Z577" s="82"/>
    </row>
    <row r="578" spans="1:26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82"/>
      <c r="X578" s="82"/>
      <c r="Y578" s="82"/>
      <c r="Z578" s="82"/>
    </row>
    <row r="579" spans="1:26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82"/>
      <c r="X579" s="82"/>
      <c r="Y579" s="82"/>
      <c r="Z579" s="82"/>
    </row>
    <row r="580" spans="1:26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82"/>
      <c r="X580" s="82"/>
      <c r="Y580" s="82"/>
      <c r="Z580" s="82"/>
    </row>
    <row r="581" spans="1:26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82"/>
      <c r="X581" s="82"/>
      <c r="Y581" s="82"/>
      <c r="Z581" s="82"/>
    </row>
    <row r="582" spans="1:26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82"/>
      <c r="X582" s="82"/>
      <c r="Y582" s="82"/>
      <c r="Z582" s="82"/>
    </row>
    <row r="583" spans="1:26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82"/>
      <c r="X583" s="82"/>
      <c r="Y583" s="82"/>
      <c r="Z583" s="82"/>
    </row>
    <row r="584" spans="1:26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82"/>
      <c r="X584" s="82"/>
      <c r="Y584" s="82"/>
      <c r="Z584" s="82"/>
    </row>
    <row r="585" spans="1:26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82"/>
      <c r="X585" s="82"/>
      <c r="Y585" s="82"/>
      <c r="Z585" s="82"/>
    </row>
    <row r="586" spans="1:26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</row>
    <row r="587" spans="1:26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82"/>
      <c r="X587" s="82"/>
      <c r="Y587" s="82"/>
      <c r="Z587" s="82"/>
    </row>
    <row r="588" spans="1:26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82"/>
      <c r="X588" s="82"/>
      <c r="Y588" s="82"/>
      <c r="Z588" s="82"/>
    </row>
    <row r="589" spans="1:26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82"/>
      <c r="X589" s="82"/>
      <c r="Y589" s="82"/>
      <c r="Z589" s="82"/>
    </row>
    <row r="590" spans="1:26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82"/>
      <c r="X590" s="82"/>
      <c r="Y590" s="82"/>
      <c r="Z590" s="82"/>
    </row>
    <row r="591" spans="1:26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82"/>
      <c r="X591" s="82"/>
      <c r="Y591" s="82"/>
      <c r="Z591" s="82"/>
    </row>
    <row r="592" spans="1:26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82"/>
      <c r="X592" s="82"/>
      <c r="Y592" s="82"/>
      <c r="Z592" s="82"/>
    </row>
    <row r="593" spans="1:26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82"/>
      <c r="X593" s="82"/>
      <c r="Y593" s="82"/>
      <c r="Z593" s="82"/>
    </row>
    <row r="594" spans="1:26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82"/>
      <c r="X594" s="82"/>
      <c r="Y594" s="82"/>
      <c r="Z594" s="82"/>
    </row>
    <row r="595" spans="1:26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82"/>
      <c r="X595" s="82"/>
      <c r="Y595" s="82"/>
      <c r="Z595" s="82"/>
    </row>
    <row r="596" spans="1:26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82"/>
      <c r="X596" s="82"/>
      <c r="Y596" s="82"/>
      <c r="Z596" s="82"/>
    </row>
    <row r="597" spans="1:26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82"/>
      <c r="X597" s="82"/>
      <c r="Y597" s="82"/>
      <c r="Z597" s="82"/>
    </row>
    <row r="598" spans="1:26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82"/>
      <c r="X598" s="82"/>
      <c r="Y598" s="82"/>
      <c r="Z598" s="82"/>
    </row>
    <row r="599" spans="1:26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82"/>
      <c r="X599" s="82"/>
      <c r="Y599" s="82"/>
      <c r="Z599" s="82"/>
    </row>
    <row r="600" spans="1:26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82"/>
      <c r="X600" s="82"/>
      <c r="Y600" s="82"/>
      <c r="Z600" s="82"/>
    </row>
    <row r="601" spans="1:26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82"/>
      <c r="X601" s="82"/>
      <c r="Y601" s="82"/>
      <c r="Z601" s="82"/>
    </row>
    <row r="602" spans="1:26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82"/>
      <c r="X602" s="82"/>
      <c r="Y602" s="82"/>
      <c r="Z602" s="82"/>
    </row>
    <row r="603" spans="1:26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82"/>
      <c r="X603" s="82"/>
      <c r="Y603" s="82"/>
      <c r="Z603" s="82"/>
    </row>
    <row r="604" spans="1:26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82"/>
      <c r="X604" s="82"/>
      <c r="Y604" s="82"/>
      <c r="Z604" s="82"/>
    </row>
    <row r="605" spans="1:26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82"/>
      <c r="X605" s="82"/>
      <c r="Y605" s="82"/>
      <c r="Z605" s="82"/>
    </row>
    <row r="606" spans="1:26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82"/>
      <c r="X606" s="82"/>
      <c r="Y606" s="82"/>
      <c r="Z606" s="82"/>
    </row>
    <row r="607" spans="1:26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82"/>
      <c r="X607" s="82"/>
      <c r="Y607" s="82"/>
      <c r="Z607" s="82"/>
    </row>
    <row r="608" spans="1:26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82"/>
      <c r="X608" s="82"/>
      <c r="Y608" s="82"/>
      <c r="Z608" s="82"/>
    </row>
    <row r="609" spans="1:26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82"/>
      <c r="X609" s="82"/>
      <c r="Y609" s="82"/>
      <c r="Z609" s="82"/>
    </row>
    <row r="610" spans="1:26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82"/>
      <c r="X610" s="82"/>
      <c r="Y610" s="82"/>
      <c r="Z610" s="82"/>
    </row>
    <row r="611" spans="1:26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82"/>
      <c r="X611" s="82"/>
      <c r="Y611" s="82"/>
      <c r="Z611" s="82"/>
    </row>
    <row r="612" spans="1:26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82"/>
      <c r="X612" s="82"/>
      <c r="Y612" s="82"/>
      <c r="Z612" s="82"/>
    </row>
    <row r="613" spans="1:26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82"/>
      <c r="X613" s="82"/>
      <c r="Y613" s="82"/>
      <c r="Z613" s="82"/>
    </row>
    <row r="614" spans="1:26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82"/>
      <c r="X614" s="82"/>
      <c r="Y614" s="82"/>
      <c r="Z614" s="82"/>
    </row>
    <row r="615" spans="1:26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82"/>
      <c r="X615" s="82"/>
      <c r="Y615" s="82"/>
      <c r="Z615" s="82"/>
    </row>
    <row r="616" spans="1:26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82"/>
      <c r="X616" s="82"/>
      <c r="Y616" s="82"/>
      <c r="Z616" s="82"/>
    </row>
    <row r="617" spans="1:26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82"/>
      <c r="X617" s="82"/>
      <c r="Y617" s="82"/>
      <c r="Z617" s="82"/>
    </row>
    <row r="618" spans="1:26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82"/>
      <c r="X618" s="82"/>
      <c r="Y618" s="82"/>
      <c r="Z618" s="82"/>
    </row>
    <row r="619" spans="1:26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82"/>
      <c r="X619" s="82"/>
      <c r="Y619" s="82"/>
      <c r="Z619" s="82"/>
    </row>
    <row r="620" spans="1:26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82"/>
      <c r="X620" s="82"/>
      <c r="Y620" s="82"/>
      <c r="Z620" s="82"/>
    </row>
    <row r="621" spans="1:26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82"/>
      <c r="X621" s="82"/>
      <c r="Y621" s="82"/>
      <c r="Z621" s="82"/>
    </row>
    <row r="622" spans="1:26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82"/>
      <c r="X622" s="82"/>
      <c r="Y622" s="82"/>
      <c r="Z622" s="82"/>
    </row>
    <row r="623" spans="1:26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82"/>
      <c r="X623" s="82"/>
      <c r="Y623" s="82"/>
      <c r="Z623" s="82"/>
    </row>
    <row r="624" spans="1:26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82"/>
      <c r="X624" s="82"/>
      <c r="Y624" s="82"/>
      <c r="Z624" s="82"/>
    </row>
    <row r="625" spans="1:26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82"/>
      <c r="X625" s="82"/>
      <c r="Y625" s="82"/>
      <c r="Z625" s="82"/>
    </row>
    <row r="626" spans="1:26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82"/>
      <c r="X626" s="82"/>
      <c r="Y626" s="82"/>
      <c r="Z626" s="82"/>
    </row>
    <row r="627" spans="1:26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82"/>
      <c r="X627" s="82"/>
      <c r="Y627" s="82"/>
      <c r="Z627" s="82"/>
    </row>
    <row r="628" spans="1:26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82"/>
      <c r="X628" s="82"/>
      <c r="Y628" s="82"/>
      <c r="Z628" s="82"/>
    </row>
    <row r="629" spans="1:26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82"/>
      <c r="X629" s="82"/>
      <c r="Y629" s="82"/>
      <c r="Z629" s="82"/>
    </row>
    <row r="630" spans="1:26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82"/>
      <c r="X630" s="82"/>
      <c r="Y630" s="82"/>
      <c r="Z630" s="82"/>
    </row>
    <row r="631" spans="1:26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82"/>
      <c r="X631" s="82"/>
      <c r="Y631" s="82"/>
      <c r="Z631" s="82"/>
    </row>
    <row r="632" spans="1:26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82"/>
      <c r="X632" s="82"/>
      <c r="Y632" s="82"/>
      <c r="Z632" s="82"/>
    </row>
    <row r="633" spans="1:26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82"/>
      <c r="X633" s="82"/>
      <c r="Y633" s="82"/>
      <c r="Z633" s="82"/>
    </row>
    <row r="634" spans="1:26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82"/>
      <c r="X634" s="82"/>
      <c r="Y634" s="82"/>
      <c r="Z634" s="82"/>
    </row>
    <row r="635" spans="1:26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82"/>
      <c r="X635" s="82"/>
      <c r="Y635" s="82"/>
      <c r="Z635" s="82"/>
    </row>
    <row r="636" spans="1:26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82"/>
      <c r="X636" s="82"/>
      <c r="Y636" s="82"/>
      <c r="Z636" s="82"/>
    </row>
    <row r="637" spans="1:26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82"/>
      <c r="X637" s="82"/>
      <c r="Y637" s="82"/>
      <c r="Z637" s="82"/>
    </row>
    <row r="638" spans="1:26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82"/>
      <c r="X638" s="82"/>
      <c r="Y638" s="82"/>
      <c r="Z638" s="82"/>
    </row>
    <row r="639" spans="1:26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82"/>
      <c r="X639" s="82"/>
      <c r="Y639" s="82"/>
      <c r="Z639" s="82"/>
    </row>
    <row r="640" spans="1:26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82"/>
      <c r="X640" s="82"/>
      <c r="Y640" s="82"/>
      <c r="Z640" s="82"/>
    </row>
    <row r="641" spans="1:26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82"/>
      <c r="X641" s="82"/>
      <c r="Y641" s="82"/>
      <c r="Z641" s="82"/>
    </row>
    <row r="642" spans="1:26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82"/>
      <c r="X642" s="82"/>
      <c r="Y642" s="82"/>
      <c r="Z642" s="82"/>
    </row>
    <row r="643" spans="1:26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82"/>
      <c r="X643" s="82"/>
      <c r="Y643" s="82"/>
      <c r="Z643" s="82"/>
    </row>
    <row r="644" spans="1:26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82"/>
      <c r="X644" s="82"/>
      <c r="Y644" s="82"/>
      <c r="Z644" s="82"/>
    </row>
    <row r="645" spans="1:26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82"/>
      <c r="X645" s="82"/>
      <c r="Y645" s="82"/>
      <c r="Z645" s="82"/>
    </row>
    <row r="646" spans="1:26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82"/>
      <c r="X646" s="82"/>
      <c r="Y646" s="82"/>
      <c r="Z646" s="82"/>
    </row>
    <row r="647" spans="1:26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82"/>
      <c r="X647" s="82"/>
      <c r="Y647" s="82"/>
      <c r="Z647" s="82"/>
    </row>
    <row r="648" spans="1:26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82"/>
      <c r="X648" s="82"/>
      <c r="Y648" s="82"/>
      <c r="Z648" s="82"/>
    </row>
    <row r="649" spans="1:26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82"/>
      <c r="X649" s="82"/>
      <c r="Y649" s="82"/>
      <c r="Z649" s="82"/>
    </row>
    <row r="650" spans="1:26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82"/>
      <c r="X650" s="82"/>
      <c r="Y650" s="82"/>
      <c r="Z650" s="82"/>
    </row>
    <row r="651" spans="1:26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82"/>
      <c r="X651" s="82"/>
      <c r="Y651" s="82"/>
      <c r="Z651" s="82"/>
    </row>
    <row r="652" spans="1:26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82"/>
      <c r="X652" s="82"/>
      <c r="Y652" s="82"/>
      <c r="Z652" s="82"/>
    </row>
    <row r="653" spans="1:26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82"/>
      <c r="X653" s="82"/>
      <c r="Y653" s="82"/>
      <c r="Z653" s="82"/>
    </row>
    <row r="654" spans="1:26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82"/>
      <c r="X654" s="82"/>
      <c r="Y654" s="82"/>
      <c r="Z654" s="82"/>
    </row>
    <row r="655" spans="1:26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82"/>
      <c r="X655" s="82"/>
      <c r="Y655" s="82"/>
      <c r="Z655" s="82"/>
    </row>
    <row r="656" spans="1:26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82"/>
      <c r="X656" s="82"/>
      <c r="Y656" s="82"/>
      <c r="Z656" s="82"/>
    </row>
    <row r="657" spans="1:26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82"/>
      <c r="X657" s="82"/>
      <c r="Y657" s="82"/>
      <c r="Z657" s="82"/>
    </row>
    <row r="658" spans="1:26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82"/>
      <c r="X658" s="82"/>
      <c r="Y658" s="82"/>
      <c r="Z658" s="82"/>
    </row>
    <row r="659" spans="1:26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82"/>
      <c r="X659" s="82"/>
      <c r="Y659" s="82"/>
      <c r="Z659" s="82"/>
    </row>
    <row r="660" spans="1:26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82"/>
      <c r="X660" s="82"/>
      <c r="Y660" s="82"/>
      <c r="Z660" s="82"/>
    </row>
    <row r="661" spans="1:26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82"/>
      <c r="X661" s="82"/>
      <c r="Y661" s="82"/>
      <c r="Z661" s="82"/>
    </row>
    <row r="662" spans="1:26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82"/>
      <c r="X662" s="82"/>
      <c r="Y662" s="82"/>
      <c r="Z662" s="82"/>
    </row>
    <row r="663" spans="1:26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82"/>
      <c r="X663" s="82"/>
      <c r="Y663" s="82"/>
      <c r="Z663" s="82"/>
    </row>
    <row r="664" spans="1:26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82"/>
      <c r="X664" s="82"/>
      <c r="Y664" s="82"/>
      <c r="Z664" s="82"/>
    </row>
    <row r="665" spans="1:26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82"/>
      <c r="X665" s="82"/>
      <c r="Y665" s="82"/>
      <c r="Z665" s="82"/>
    </row>
    <row r="666" spans="1:26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82"/>
      <c r="X666" s="82"/>
      <c r="Y666" s="82"/>
      <c r="Z666" s="82"/>
    </row>
    <row r="667" spans="1:26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82"/>
      <c r="X667" s="82"/>
      <c r="Y667" s="82"/>
      <c r="Z667" s="82"/>
    </row>
    <row r="668" spans="1:26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82"/>
      <c r="X668" s="82"/>
      <c r="Y668" s="82"/>
      <c r="Z668" s="82"/>
    </row>
    <row r="669" spans="1:26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82"/>
      <c r="X669" s="82"/>
      <c r="Y669" s="82"/>
      <c r="Z669" s="82"/>
    </row>
    <row r="670" spans="1:26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82"/>
      <c r="X670" s="82"/>
      <c r="Y670" s="82"/>
      <c r="Z670" s="82"/>
    </row>
    <row r="671" spans="1:26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82"/>
      <c r="X671" s="82"/>
      <c r="Y671" s="82"/>
      <c r="Z671" s="82"/>
    </row>
    <row r="672" spans="1:26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82"/>
      <c r="X672" s="82"/>
      <c r="Y672" s="82"/>
      <c r="Z672" s="82"/>
    </row>
    <row r="673" spans="1:26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82"/>
      <c r="X673" s="82"/>
      <c r="Y673" s="82"/>
      <c r="Z673" s="82"/>
    </row>
    <row r="674" spans="1:26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82"/>
      <c r="X674" s="82"/>
      <c r="Y674" s="82"/>
      <c r="Z674" s="82"/>
    </row>
    <row r="675" spans="1:26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82"/>
      <c r="X675" s="82"/>
      <c r="Y675" s="82"/>
      <c r="Z675" s="82"/>
    </row>
    <row r="676" spans="1:26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82"/>
      <c r="X676" s="82"/>
      <c r="Y676" s="82"/>
      <c r="Z676" s="82"/>
    </row>
    <row r="677" spans="1:26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82"/>
      <c r="X677" s="82"/>
      <c r="Y677" s="82"/>
      <c r="Z677" s="82"/>
    </row>
    <row r="678" spans="1:26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82"/>
      <c r="X678" s="82"/>
      <c r="Y678" s="82"/>
      <c r="Z678" s="82"/>
    </row>
    <row r="679" spans="1:26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82"/>
      <c r="X679" s="82"/>
      <c r="Y679" s="82"/>
      <c r="Z679" s="82"/>
    </row>
    <row r="680" spans="1:26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82"/>
      <c r="X680" s="82"/>
      <c r="Y680" s="82"/>
      <c r="Z680" s="82"/>
    </row>
    <row r="681" spans="1:26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82"/>
      <c r="X681" s="82"/>
      <c r="Y681" s="82"/>
      <c r="Z681" s="82"/>
    </row>
    <row r="682" spans="1:26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82"/>
      <c r="X682" s="82"/>
      <c r="Y682" s="82"/>
      <c r="Z682" s="82"/>
    </row>
    <row r="683" spans="1:26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82"/>
      <c r="X683" s="82"/>
      <c r="Y683" s="82"/>
      <c r="Z683" s="82"/>
    </row>
    <row r="684" spans="1:26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82"/>
      <c r="X684" s="82"/>
      <c r="Y684" s="82"/>
      <c r="Z684" s="82"/>
    </row>
    <row r="685" spans="1:26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82"/>
      <c r="X685" s="82"/>
      <c r="Y685" s="82"/>
      <c r="Z685" s="82"/>
    </row>
    <row r="686" spans="1:26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82"/>
      <c r="X686" s="82"/>
      <c r="Y686" s="82"/>
      <c r="Z686" s="82"/>
    </row>
    <row r="687" spans="1:26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82"/>
      <c r="X687" s="82"/>
      <c r="Y687" s="82"/>
      <c r="Z687" s="82"/>
    </row>
    <row r="688" spans="1:26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82"/>
      <c r="X688" s="82"/>
      <c r="Y688" s="82"/>
      <c r="Z688" s="82"/>
    </row>
    <row r="689" spans="1:26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82"/>
      <c r="X689" s="82"/>
      <c r="Y689" s="82"/>
      <c r="Z689" s="82"/>
    </row>
    <row r="690" spans="1:26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82"/>
      <c r="X690" s="82"/>
      <c r="Y690" s="82"/>
      <c r="Z690" s="82"/>
    </row>
    <row r="691" spans="1:26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82"/>
      <c r="X691" s="82"/>
      <c r="Y691" s="82"/>
      <c r="Z691" s="82"/>
    </row>
    <row r="692" spans="1:26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82"/>
      <c r="X692" s="82"/>
      <c r="Y692" s="82"/>
      <c r="Z692" s="82"/>
    </row>
    <row r="693" spans="1:26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82"/>
      <c r="X693" s="82"/>
      <c r="Y693" s="82"/>
      <c r="Z693" s="82"/>
    </row>
    <row r="694" spans="1:26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82"/>
      <c r="X694" s="82"/>
      <c r="Y694" s="82"/>
      <c r="Z694" s="82"/>
    </row>
    <row r="695" spans="1:26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82"/>
      <c r="X695" s="82"/>
      <c r="Y695" s="82"/>
      <c r="Z695" s="82"/>
    </row>
    <row r="696" spans="1:26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82"/>
      <c r="X696" s="82"/>
      <c r="Y696" s="82"/>
      <c r="Z696" s="82"/>
    </row>
    <row r="697" spans="1:26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82"/>
      <c r="X697" s="82"/>
      <c r="Y697" s="82"/>
      <c r="Z697" s="82"/>
    </row>
    <row r="698" spans="1:26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82"/>
      <c r="X698" s="82"/>
      <c r="Y698" s="82"/>
      <c r="Z698" s="82"/>
    </row>
    <row r="699" spans="1:26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82"/>
      <c r="X699" s="82"/>
      <c r="Y699" s="82"/>
      <c r="Z699" s="82"/>
    </row>
    <row r="700" spans="1:26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82"/>
      <c r="X700" s="82"/>
      <c r="Y700" s="82"/>
      <c r="Z700" s="82"/>
    </row>
    <row r="701" spans="1:26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82"/>
      <c r="X701" s="82"/>
      <c r="Y701" s="82"/>
      <c r="Z701" s="82"/>
    </row>
    <row r="702" spans="1:26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82"/>
      <c r="X702" s="82"/>
      <c r="Y702" s="82"/>
      <c r="Z702" s="82"/>
    </row>
    <row r="703" spans="1:26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82"/>
      <c r="X703" s="82"/>
      <c r="Y703" s="82"/>
      <c r="Z703" s="82"/>
    </row>
    <row r="704" spans="1:26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82"/>
      <c r="X704" s="82"/>
      <c r="Y704" s="82"/>
      <c r="Z704" s="82"/>
    </row>
    <row r="705" spans="1:26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82"/>
      <c r="X705" s="82"/>
      <c r="Y705" s="82"/>
      <c r="Z705" s="82"/>
    </row>
    <row r="706" spans="1:26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82"/>
      <c r="X706" s="82"/>
      <c r="Y706" s="82"/>
      <c r="Z706" s="82"/>
    </row>
    <row r="707" spans="1:26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82"/>
      <c r="X707" s="82"/>
      <c r="Y707" s="82"/>
      <c r="Z707" s="82"/>
    </row>
    <row r="708" spans="1:26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82"/>
      <c r="X708" s="82"/>
      <c r="Y708" s="82"/>
      <c r="Z708" s="82"/>
    </row>
    <row r="709" spans="1:26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82"/>
      <c r="X709" s="82"/>
      <c r="Y709" s="82"/>
      <c r="Z709" s="82"/>
    </row>
    <row r="710" spans="1:26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82"/>
      <c r="X710" s="82"/>
      <c r="Y710" s="82"/>
      <c r="Z710" s="82"/>
    </row>
    <row r="711" spans="1:26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82"/>
      <c r="X711" s="82"/>
      <c r="Y711" s="82"/>
      <c r="Z711" s="82"/>
    </row>
    <row r="712" spans="1:26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82"/>
      <c r="X712" s="82"/>
      <c r="Y712" s="82"/>
      <c r="Z712" s="82"/>
    </row>
    <row r="713" spans="1:26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82"/>
      <c r="X713" s="82"/>
      <c r="Y713" s="82"/>
      <c r="Z713" s="82"/>
    </row>
    <row r="714" spans="1:26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82"/>
      <c r="X714" s="82"/>
      <c r="Y714" s="82"/>
      <c r="Z714" s="82"/>
    </row>
    <row r="715" spans="1:26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82"/>
      <c r="X715" s="82"/>
      <c r="Y715" s="82"/>
      <c r="Z715" s="82"/>
    </row>
    <row r="716" spans="1:26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82"/>
      <c r="X716" s="82"/>
      <c r="Y716" s="82"/>
      <c r="Z716" s="82"/>
    </row>
    <row r="717" spans="1:26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82"/>
      <c r="X717" s="82"/>
      <c r="Y717" s="82"/>
      <c r="Z717" s="82"/>
    </row>
    <row r="718" spans="1:26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82"/>
      <c r="X718" s="82"/>
      <c r="Y718" s="82"/>
      <c r="Z718" s="82"/>
    </row>
    <row r="719" spans="1:26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82"/>
      <c r="X719" s="82"/>
      <c r="Y719" s="82"/>
      <c r="Z719" s="82"/>
    </row>
    <row r="720" spans="1:26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82"/>
      <c r="X720" s="82"/>
      <c r="Y720" s="82"/>
      <c r="Z720" s="82"/>
    </row>
    <row r="721" spans="1:26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82"/>
      <c r="X721" s="82"/>
      <c r="Y721" s="82"/>
      <c r="Z721" s="82"/>
    </row>
    <row r="722" spans="1:26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82"/>
      <c r="X722" s="82"/>
      <c r="Y722" s="82"/>
      <c r="Z722" s="82"/>
    </row>
    <row r="723" spans="1:26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82"/>
      <c r="X723" s="82"/>
      <c r="Y723" s="82"/>
      <c r="Z723" s="82"/>
    </row>
    <row r="724" spans="1:26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  <c r="Z724" s="82"/>
    </row>
    <row r="725" spans="1:26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82"/>
      <c r="X725" s="82"/>
      <c r="Y725" s="82"/>
      <c r="Z725" s="82"/>
    </row>
    <row r="726" spans="1:26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82"/>
      <c r="X726" s="82"/>
      <c r="Y726" s="82"/>
      <c r="Z726" s="82"/>
    </row>
    <row r="727" spans="1:26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82"/>
      <c r="X727" s="82"/>
      <c r="Y727" s="82"/>
      <c r="Z727" s="82"/>
    </row>
    <row r="728" spans="1:26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82"/>
      <c r="X728" s="82"/>
      <c r="Y728" s="82"/>
      <c r="Z728" s="82"/>
    </row>
    <row r="729" spans="1:26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82"/>
      <c r="X729" s="82"/>
      <c r="Y729" s="82"/>
      <c r="Z729" s="82"/>
    </row>
    <row r="730" spans="1:26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82"/>
      <c r="X730" s="82"/>
      <c r="Y730" s="82"/>
      <c r="Z730" s="82"/>
    </row>
    <row r="731" spans="1:26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82"/>
      <c r="X731" s="82"/>
      <c r="Y731" s="82"/>
      <c r="Z731" s="82"/>
    </row>
    <row r="732" spans="1:26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82"/>
      <c r="X732" s="82"/>
      <c r="Y732" s="82"/>
      <c r="Z732" s="82"/>
    </row>
    <row r="733" spans="1:26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82"/>
      <c r="X733" s="82"/>
      <c r="Y733" s="82"/>
      <c r="Z733" s="82"/>
    </row>
    <row r="734" spans="1:26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82"/>
      <c r="X734" s="82"/>
      <c r="Y734" s="82"/>
      <c r="Z734" s="82"/>
    </row>
    <row r="735" spans="1:26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82"/>
      <c r="X735" s="82"/>
      <c r="Y735" s="82"/>
      <c r="Z735" s="82"/>
    </row>
    <row r="736" spans="1:26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82"/>
      <c r="X736" s="82"/>
      <c r="Y736" s="82"/>
      <c r="Z736" s="82"/>
    </row>
    <row r="737" spans="1:26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82"/>
      <c r="X737" s="82"/>
      <c r="Y737" s="82"/>
      <c r="Z737" s="82"/>
    </row>
    <row r="738" spans="1:26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82"/>
      <c r="X738" s="82"/>
      <c r="Y738" s="82"/>
      <c r="Z738" s="82"/>
    </row>
    <row r="739" spans="1:26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82"/>
      <c r="X739" s="82"/>
      <c r="Y739" s="82"/>
      <c r="Z739" s="82"/>
    </row>
    <row r="740" spans="1:26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82"/>
      <c r="X740" s="82"/>
      <c r="Y740" s="82"/>
      <c r="Z740" s="82"/>
    </row>
    <row r="741" spans="1:26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82"/>
      <c r="X741" s="82"/>
      <c r="Y741" s="82"/>
      <c r="Z741" s="82"/>
    </row>
    <row r="742" spans="1:26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82"/>
      <c r="X742" s="82"/>
      <c r="Y742" s="82"/>
      <c r="Z742" s="82"/>
    </row>
    <row r="743" spans="1:26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82"/>
      <c r="X743" s="82"/>
      <c r="Y743" s="82"/>
      <c r="Z743" s="82"/>
    </row>
    <row r="744" spans="1:26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82"/>
      <c r="X744" s="82"/>
      <c r="Y744" s="82"/>
      <c r="Z744" s="82"/>
    </row>
    <row r="745" spans="1:26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82"/>
      <c r="X745" s="82"/>
      <c r="Y745" s="82"/>
      <c r="Z745" s="82"/>
    </row>
    <row r="746" spans="1:26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82"/>
      <c r="X746" s="82"/>
      <c r="Y746" s="82"/>
      <c r="Z746" s="82"/>
    </row>
    <row r="747" spans="1:26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82"/>
      <c r="X747" s="82"/>
      <c r="Y747" s="82"/>
      <c r="Z747" s="82"/>
    </row>
    <row r="748" spans="1:26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82"/>
      <c r="X748" s="82"/>
      <c r="Y748" s="82"/>
      <c r="Z748" s="82"/>
    </row>
    <row r="749" spans="1:26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82"/>
      <c r="X749" s="82"/>
      <c r="Y749" s="82"/>
      <c r="Z749" s="82"/>
    </row>
    <row r="750" spans="1:26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82"/>
      <c r="X750" s="82"/>
      <c r="Y750" s="82"/>
      <c r="Z750" s="82"/>
    </row>
    <row r="751" spans="1:26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82"/>
      <c r="X751" s="82"/>
      <c r="Y751" s="82"/>
      <c r="Z751" s="82"/>
    </row>
    <row r="752" spans="1:26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82"/>
      <c r="X752" s="82"/>
      <c r="Y752" s="82"/>
      <c r="Z752" s="82"/>
    </row>
    <row r="753" spans="1:26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82"/>
      <c r="X753" s="82"/>
      <c r="Y753" s="82"/>
      <c r="Z753" s="82"/>
    </row>
    <row r="754" spans="1:26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82"/>
      <c r="X754" s="82"/>
      <c r="Y754" s="82"/>
      <c r="Z754" s="82"/>
    </row>
    <row r="755" spans="1:26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82"/>
      <c r="X755" s="82"/>
      <c r="Y755" s="82"/>
      <c r="Z755" s="82"/>
    </row>
    <row r="756" spans="1:26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82"/>
      <c r="X756" s="82"/>
      <c r="Y756" s="82"/>
      <c r="Z756" s="82"/>
    </row>
    <row r="757" spans="1:26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82"/>
      <c r="X757" s="82"/>
      <c r="Y757" s="82"/>
      <c r="Z757" s="82"/>
    </row>
    <row r="758" spans="1:26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82"/>
      <c r="X758" s="82"/>
      <c r="Y758" s="82"/>
      <c r="Z758" s="82"/>
    </row>
    <row r="759" spans="1:26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82"/>
      <c r="X759" s="82"/>
      <c r="Y759" s="82"/>
      <c r="Z759" s="82"/>
    </row>
    <row r="760" spans="1:26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82"/>
      <c r="X760" s="82"/>
      <c r="Y760" s="82"/>
      <c r="Z760" s="82"/>
    </row>
    <row r="761" spans="1:26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82"/>
      <c r="X761" s="82"/>
      <c r="Y761" s="82"/>
      <c r="Z761" s="82"/>
    </row>
    <row r="762" spans="1:26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82"/>
      <c r="X762" s="82"/>
      <c r="Y762" s="82"/>
      <c r="Z762" s="82"/>
    </row>
    <row r="763" spans="1:26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82"/>
      <c r="X763" s="82"/>
      <c r="Y763" s="82"/>
      <c r="Z763" s="82"/>
    </row>
    <row r="764" spans="1:26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82"/>
      <c r="X764" s="82"/>
      <c r="Y764" s="82"/>
      <c r="Z764" s="82"/>
    </row>
    <row r="765" spans="1:26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82"/>
      <c r="X765" s="82"/>
      <c r="Y765" s="82"/>
      <c r="Z765" s="82"/>
    </row>
    <row r="766" spans="1:26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82"/>
      <c r="X766" s="82"/>
      <c r="Y766" s="82"/>
      <c r="Z766" s="82"/>
    </row>
    <row r="767" spans="1:26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82"/>
      <c r="X767" s="82"/>
      <c r="Y767" s="82"/>
      <c r="Z767" s="82"/>
    </row>
    <row r="768" spans="1:26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82"/>
      <c r="X768" s="82"/>
      <c r="Y768" s="82"/>
      <c r="Z768" s="82"/>
    </row>
    <row r="769" spans="1:26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82"/>
      <c r="X769" s="82"/>
      <c r="Y769" s="82"/>
      <c r="Z769" s="82"/>
    </row>
    <row r="770" spans="1:26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82"/>
      <c r="X770" s="82"/>
      <c r="Y770" s="82"/>
      <c r="Z770" s="82"/>
    </row>
    <row r="771" spans="1:26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82"/>
      <c r="X771" s="82"/>
      <c r="Y771" s="82"/>
      <c r="Z771" s="82"/>
    </row>
    <row r="772" spans="1:26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82"/>
      <c r="X772" s="82"/>
      <c r="Y772" s="82"/>
      <c r="Z772" s="82"/>
    </row>
    <row r="773" spans="1:26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82"/>
      <c r="X773" s="82"/>
      <c r="Y773" s="82"/>
      <c r="Z773" s="82"/>
    </row>
    <row r="774" spans="1:26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82"/>
      <c r="X774" s="82"/>
      <c r="Y774" s="82"/>
      <c r="Z774" s="82"/>
    </row>
    <row r="775" spans="1:26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82"/>
      <c r="X775" s="82"/>
      <c r="Y775" s="82"/>
      <c r="Z775" s="82"/>
    </row>
    <row r="776" spans="1:26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82"/>
      <c r="X776" s="82"/>
      <c r="Y776" s="82"/>
      <c r="Z776" s="82"/>
    </row>
    <row r="777" spans="1:26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82"/>
      <c r="X777" s="82"/>
      <c r="Y777" s="82"/>
      <c r="Z777" s="82"/>
    </row>
    <row r="778" spans="1:26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82"/>
      <c r="X778" s="82"/>
      <c r="Y778" s="82"/>
      <c r="Z778" s="82"/>
    </row>
    <row r="779" spans="1:26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82"/>
      <c r="X779" s="82"/>
      <c r="Y779" s="82"/>
      <c r="Z779" s="82"/>
    </row>
    <row r="780" spans="1:26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82"/>
      <c r="X780" s="82"/>
      <c r="Y780" s="82"/>
      <c r="Z780" s="82"/>
    </row>
    <row r="781" spans="1:26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82"/>
      <c r="X781" s="82"/>
      <c r="Y781" s="82"/>
      <c r="Z781" s="82"/>
    </row>
    <row r="782" spans="1:26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82"/>
      <c r="X782" s="82"/>
      <c r="Y782" s="82"/>
      <c r="Z782" s="82"/>
    </row>
    <row r="783" spans="1:26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82"/>
      <c r="X783" s="82"/>
      <c r="Y783" s="82"/>
      <c r="Z783" s="82"/>
    </row>
    <row r="784" spans="1:26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82"/>
      <c r="X784" s="82"/>
      <c r="Y784" s="82"/>
      <c r="Z784" s="82"/>
    </row>
    <row r="785" spans="1:26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82"/>
      <c r="X785" s="82"/>
      <c r="Y785" s="82"/>
      <c r="Z785" s="82"/>
    </row>
    <row r="786" spans="1:26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82"/>
      <c r="X786" s="82"/>
      <c r="Y786" s="82"/>
      <c r="Z786" s="82"/>
    </row>
    <row r="787" spans="1:26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82"/>
      <c r="X787" s="82"/>
      <c r="Y787" s="82"/>
      <c r="Z787" s="82"/>
    </row>
    <row r="788" spans="1:26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82"/>
      <c r="X788" s="82"/>
      <c r="Y788" s="82"/>
      <c r="Z788" s="82"/>
    </row>
    <row r="789" spans="1:26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82"/>
      <c r="X789" s="82"/>
      <c r="Y789" s="82"/>
      <c r="Z789" s="82"/>
    </row>
    <row r="790" spans="1:26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82"/>
      <c r="X790" s="82"/>
      <c r="Y790" s="82"/>
      <c r="Z790" s="82"/>
    </row>
    <row r="791" spans="1:26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82"/>
      <c r="X791" s="82"/>
      <c r="Y791" s="82"/>
      <c r="Z791" s="82"/>
    </row>
    <row r="792" spans="1:26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82"/>
      <c r="X792" s="82"/>
      <c r="Y792" s="82"/>
      <c r="Z792" s="82"/>
    </row>
    <row r="793" spans="1:26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82"/>
      <c r="X793" s="82"/>
      <c r="Y793" s="82"/>
      <c r="Z793" s="82"/>
    </row>
    <row r="794" spans="1:26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82"/>
      <c r="X794" s="82"/>
      <c r="Y794" s="82"/>
      <c r="Z794" s="82"/>
    </row>
    <row r="795" spans="1:26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82"/>
      <c r="X795" s="82"/>
      <c r="Y795" s="82"/>
      <c r="Z795" s="82"/>
    </row>
    <row r="796" spans="1:26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82"/>
      <c r="X796" s="82"/>
      <c r="Y796" s="82"/>
      <c r="Z796" s="82"/>
    </row>
    <row r="797" spans="1:26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82"/>
      <c r="X797" s="82"/>
      <c r="Y797" s="82"/>
      <c r="Z797" s="82"/>
    </row>
    <row r="798" spans="1:26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82"/>
      <c r="X798" s="82"/>
      <c r="Y798" s="82"/>
      <c r="Z798" s="82"/>
    </row>
    <row r="799" spans="1:26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82"/>
      <c r="X799" s="82"/>
      <c r="Y799" s="82"/>
      <c r="Z799" s="82"/>
    </row>
    <row r="800" spans="1:26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82"/>
      <c r="X800" s="82"/>
      <c r="Y800" s="82"/>
      <c r="Z800" s="82"/>
    </row>
    <row r="801" spans="1:26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82"/>
      <c r="X801" s="82"/>
      <c r="Y801" s="82"/>
      <c r="Z801" s="82"/>
    </row>
    <row r="802" spans="1:26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82"/>
      <c r="X802" s="82"/>
      <c r="Y802" s="82"/>
      <c r="Z802" s="82"/>
    </row>
    <row r="803" spans="1:26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82"/>
      <c r="X803" s="82"/>
      <c r="Y803" s="82"/>
      <c r="Z803" s="82"/>
    </row>
    <row r="804" spans="1:26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82"/>
      <c r="X804" s="82"/>
      <c r="Y804" s="82"/>
      <c r="Z804" s="82"/>
    </row>
    <row r="805" spans="1:26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82"/>
      <c r="X805" s="82"/>
      <c r="Y805" s="82"/>
      <c r="Z805" s="82"/>
    </row>
    <row r="806" spans="1:26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82"/>
      <c r="X806" s="82"/>
      <c r="Y806" s="82"/>
      <c r="Z806" s="82"/>
    </row>
    <row r="807" spans="1:26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82"/>
      <c r="X807" s="82"/>
      <c r="Y807" s="82"/>
      <c r="Z807" s="82"/>
    </row>
    <row r="808" spans="1:26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82"/>
      <c r="X808" s="82"/>
      <c r="Y808" s="82"/>
      <c r="Z808" s="82"/>
    </row>
    <row r="809" spans="1:26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82"/>
      <c r="X809" s="82"/>
      <c r="Y809" s="82"/>
      <c r="Z809" s="82"/>
    </row>
    <row r="810" spans="1:26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82"/>
      <c r="X810" s="82"/>
      <c r="Y810" s="82"/>
      <c r="Z810" s="82"/>
    </row>
    <row r="811" spans="1:26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82"/>
      <c r="X811" s="82"/>
      <c r="Y811" s="82"/>
      <c r="Z811" s="82"/>
    </row>
    <row r="812" spans="1:26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82"/>
      <c r="X812" s="82"/>
      <c r="Y812" s="82"/>
      <c r="Z812" s="82"/>
    </row>
    <row r="813" spans="1:26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82"/>
      <c r="X813" s="82"/>
      <c r="Y813" s="82"/>
      <c r="Z813" s="82"/>
    </row>
    <row r="814" spans="1:26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82"/>
      <c r="X814" s="82"/>
      <c r="Y814" s="82"/>
      <c r="Z814" s="82"/>
    </row>
    <row r="815" spans="1:26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82"/>
      <c r="X815" s="82"/>
      <c r="Y815" s="82"/>
      <c r="Z815" s="82"/>
    </row>
    <row r="816" spans="1:26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82"/>
      <c r="X816" s="82"/>
      <c r="Y816" s="82"/>
      <c r="Z816" s="82"/>
    </row>
    <row r="817" spans="1:26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82"/>
      <c r="X817" s="82"/>
      <c r="Y817" s="82"/>
      <c r="Z817" s="82"/>
    </row>
    <row r="818" spans="1:26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82"/>
      <c r="X818" s="82"/>
      <c r="Y818" s="82"/>
      <c r="Z818" s="82"/>
    </row>
    <row r="819" spans="1:26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82"/>
      <c r="X819" s="82"/>
      <c r="Y819" s="82"/>
      <c r="Z819" s="82"/>
    </row>
    <row r="820" spans="1:26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82"/>
      <c r="X820" s="82"/>
      <c r="Y820" s="82"/>
      <c r="Z820" s="82"/>
    </row>
    <row r="821" spans="1:26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82"/>
      <c r="X821" s="82"/>
      <c r="Y821" s="82"/>
      <c r="Z821" s="82"/>
    </row>
    <row r="822" spans="1:26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82"/>
      <c r="X822" s="82"/>
      <c r="Y822" s="82"/>
      <c r="Z822" s="82"/>
    </row>
    <row r="823" spans="1:26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82"/>
      <c r="X823" s="82"/>
      <c r="Y823" s="82"/>
      <c r="Z823" s="82"/>
    </row>
    <row r="824" spans="1:26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82"/>
      <c r="X824" s="82"/>
      <c r="Y824" s="82"/>
      <c r="Z824" s="82"/>
    </row>
    <row r="825" spans="1:26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82"/>
      <c r="X825" s="82"/>
      <c r="Y825" s="82"/>
      <c r="Z825" s="82"/>
    </row>
    <row r="826" spans="1:26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82"/>
      <c r="X826" s="82"/>
      <c r="Y826" s="82"/>
      <c r="Z826" s="82"/>
    </row>
    <row r="827" spans="1:26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82"/>
      <c r="X827" s="82"/>
      <c r="Y827" s="82"/>
      <c r="Z827" s="82"/>
    </row>
    <row r="828" spans="1:26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82"/>
      <c r="X828" s="82"/>
      <c r="Y828" s="82"/>
      <c r="Z828" s="82"/>
    </row>
    <row r="829" spans="1:26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82"/>
      <c r="X829" s="82"/>
      <c r="Y829" s="82"/>
      <c r="Z829" s="82"/>
    </row>
    <row r="830" spans="1:26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82"/>
      <c r="X830" s="82"/>
      <c r="Y830" s="82"/>
      <c r="Z830" s="82"/>
    </row>
    <row r="831" spans="1:26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82"/>
      <c r="S831" s="82"/>
      <c r="T831" s="82"/>
      <c r="U831" s="82"/>
      <c r="V831" s="82"/>
      <c r="W831" s="82"/>
      <c r="X831" s="82"/>
      <c r="Y831" s="82"/>
      <c r="Z831" s="82"/>
    </row>
    <row r="832" spans="1:26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82"/>
      <c r="S832" s="82"/>
      <c r="T832" s="82"/>
      <c r="U832" s="82"/>
      <c r="V832" s="82"/>
      <c r="W832" s="82"/>
      <c r="X832" s="82"/>
      <c r="Y832" s="82"/>
      <c r="Z832" s="82"/>
    </row>
    <row r="833" spans="1:26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82"/>
      <c r="S833" s="82"/>
      <c r="T833" s="82"/>
      <c r="U833" s="82"/>
      <c r="V833" s="82"/>
      <c r="W833" s="82"/>
      <c r="X833" s="82"/>
      <c r="Y833" s="82"/>
      <c r="Z833" s="82"/>
    </row>
    <row r="834" spans="1:26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82"/>
      <c r="S834" s="82"/>
      <c r="T834" s="82"/>
      <c r="U834" s="82"/>
      <c r="V834" s="82"/>
      <c r="W834" s="82"/>
      <c r="X834" s="82"/>
      <c r="Y834" s="82"/>
      <c r="Z834" s="82"/>
    </row>
    <row r="835" spans="1:26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82"/>
      <c r="S835" s="82"/>
      <c r="T835" s="82"/>
      <c r="U835" s="82"/>
      <c r="V835" s="82"/>
      <c r="W835" s="82"/>
      <c r="X835" s="82"/>
      <c r="Y835" s="82"/>
      <c r="Z835" s="82"/>
    </row>
    <row r="836" spans="1:26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82"/>
      <c r="S836" s="82"/>
      <c r="T836" s="82"/>
      <c r="U836" s="82"/>
      <c r="V836" s="82"/>
      <c r="W836" s="82"/>
      <c r="X836" s="82"/>
      <c r="Y836" s="82"/>
      <c r="Z836" s="82"/>
    </row>
    <row r="837" spans="1:26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82"/>
      <c r="S837" s="82"/>
      <c r="T837" s="82"/>
      <c r="U837" s="82"/>
      <c r="V837" s="82"/>
      <c r="W837" s="82"/>
      <c r="X837" s="82"/>
      <c r="Y837" s="82"/>
      <c r="Z837" s="82"/>
    </row>
    <row r="838" spans="1:26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82"/>
      <c r="S838" s="82"/>
      <c r="T838" s="82"/>
      <c r="U838" s="82"/>
      <c r="V838" s="82"/>
      <c r="W838" s="82"/>
      <c r="X838" s="82"/>
      <c r="Y838" s="82"/>
      <c r="Z838" s="82"/>
    </row>
    <row r="839" spans="1:26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82"/>
      <c r="S839" s="82"/>
      <c r="T839" s="82"/>
      <c r="U839" s="82"/>
      <c r="V839" s="82"/>
      <c r="W839" s="82"/>
      <c r="X839" s="82"/>
      <c r="Y839" s="82"/>
      <c r="Z839" s="82"/>
    </row>
    <row r="840" spans="1:26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82"/>
      <c r="S840" s="82"/>
      <c r="T840" s="82"/>
      <c r="U840" s="82"/>
      <c r="V840" s="82"/>
      <c r="W840" s="82"/>
      <c r="X840" s="82"/>
      <c r="Y840" s="82"/>
      <c r="Z840" s="82"/>
    </row>
    <row r="841" spans="1:26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82"/>
      <c r="S841" s="82"/>
      <c r="T841" s="82"/>
      <c r="U841" s="82"/>
      <c r="V841" s="82"/>
      <c r="W841" s="82"/>
      <c r="X841" s="82"/>
      <c r="Y841" s="82"/>
      <c r="Z841" s="82"/>
    </row>
    <row r="842" spans="1:26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82"/>
      <c r="S842" s="82"/>
      <c r="T842" s="82"/>
      <c r="U842" s="82"/>
      <c r="V842" s="82"/>
      <c r="W842" s="82"/>
      <c r="X842" s="82"/>
      <c r="Y842" s="82"/>
      <c r="Z842" s="82"/>
    </row>
    <row r="843" spans="1:26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82"/>
      <c r="S843" s="82"/>
      <c r="T843" s="82"/>
      <c r="U843" s="82"/>
      <c r="V843" s="82"/>
      <c r="W843" s="82"/>
      <c r="X843" s="82"/>
      <c r="Y843" s="82"/>
      <c r="Z843" s="82"/>
    </row>
    <row r="844" spans="1:26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82"/>
      <c r="S844" s="82"/>
      <c r="T844" s="82"/>
      <c r="U844" s="82"/>
      <c r="V844" s="82"/>
      <c r="W844" s="82"/>
      <c r="X844" s="82"/>
      <c r="Y844" s="82"/>
      <c r="Z844" s="82"/>
    </row>
    <row r="845" spans="1:26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82"/>
      <c r="S845" s="82"/>
      <c r="T845" s="82"/>
      <c r="U845" s="82"/>
      <c r="V845" s="82"/>
      <c r="W845" s="82"/>
      <c r="X845" s="82"/>
      <c r="Y845" s="82"/>
      <c r="Z845" s="82"/>
    </row>
    <row r="846" spans="1:26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82"/>
      <c r="S846" s="82"/>
      <c r="T846" s="82"/>
      <c r="U846" s="82"/>
      <c r="V846" s="82"/>
      <c r="W846" s="82"/>
      <c r="X846" s="82"/>
      <c r="Y846" s="82"/>
      <c r="Z846" s="82"/>
    </row>
    <row r="847" spans="1:26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82"/>
      <c r="S847" s="82"/>
      <c r="T847" s="82"/>
      <c r="U847" s="82"/>
      <c r="V847" s="82"/>
      <c r="W847" s="82"/>
      <c r="X847" s="82"/>
      <c r="Y847" s="82"/>
      <c r="Z847" s="82"/>
    </row>
    <row r="848" spans="1:26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82"/>
      <c r="S848" s="82"/>
      <c r="T848" s="82"/>
      <c r="U848" s="82"/>
      <c r="V848" s="82"/>
      <c r="W848" s="82"/>
      <c r="X848" s="82"/>
      <c r="Y848" s="82"/>
      <c r="Z848" s="82"/>
    </row>
    <row r="849" spans="1:26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82"/>
      <c r="S849" s="82"/>
      <c r="T849" s="82"/>
      <c r="U849" s="82"/>
      <c r="V849" s="82"/>
      <c r="W849" s="82"/>
      <c r="X849" s="82"/>
      <c r="Y849" s="82"/>
      <c r="Z849" s="82"/>
    </row>
    <row r="850" spans="1:26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82"/>
      <c r="S850" s="82"/>
      <c r="T850" s="82"/>
      <c r="U850" s="82"/>
      <c r="V850" s="82"/>
      <c r="W850" s="82"/>
      <c r="X850" s="82"/>
      <c r="Y850" s="82"/>
      <c r="Z850" s="82"/>
    </row>
    <row r="851" spans="1:26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82"/>
      <c r="S851" s="82"/>
      <c r="T851" s="82"/>
      <c r="U851" s="82"/>
      <c r="V851" s="82"/>
      <c r="W851" s="82"/>
      <c r="X851" s="82"/>
      <c r="Y851" s="82"/>
      <c r="Z851" s="82"/>
    </row>
    <row r="852" spans="1:26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82"/>
      <c r="S852" s="82"/>
      <c r="T852" s="82"/>
      <c r="U852" s="82"/>
      <c r="V852" s="82"/>
      <c r="W852" s="82"/>
      <c r="X852" s="82"/>
      <c r="Y852" s="82"/>
      <c r="Z852" s="82"/>
    </row>
    <row r="853" spans="1:26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82"/>
      <c r="S853" s="82"/>
      <c r="T853" s="82"/>
      <c r="U853" s="82"/>
      <c r="V853" s="82"/>
      <c r="W853" s="82"/>
      <c r="X853" s="82"/>
      <c r="Y853" s="82"/>
      <c r="Z853" s="82"/>
    </row>
    <row r="854" spans="1:26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82"/>
      <c r="S854" s="82"/>
      <c r="T854" s="82"/>
      <c r="U854" s="82"/>
      <c r="V854" s="82"/>
      <c r="W854" s="82"/>
      <c r="X854" s="82"/>
      <c r="Y854" s="82"/>
      <c r="Z854" s="82"/>
    </row>
    <row r="855" spans="1:26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82"/>
      <c r="S855" s="82"/>
      <c r="T855" s="82"/>
      <c r="U855" s="82"/>
      <c r="V855" s="82"/>
      <c r="W855" s="82"/>
      <c r="X855" s="82"/>
      <c r="Y855" s="82"/>
      <c r="Z855" s="82"/>
    </row>
    <row r="856" spans="1:26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82"/>
      <c r="S856" s="82"/>
      <c r="T856" s="82"/>
      <c r="U856" s="82"/>
      <c r="V856" s="82"/>
      <c r="W856" s="82"/>
      <c r="X856" s="82"/>
      <c r="Y856" s="82"/>
      <c r="Z856" s="82"/>
    </row>
    <row r="857" spans="1:26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82"/>
      <c r="S857" s="82"/>
      <c r="T857" s="82"/>
      <c r="U857" s="82"/>
      <c r="V857" s="82"/>
      <c r="W857" s="82"/>
      <c r="X857" s="82"/>
      <c r="Y857" s="82"/>
      <c r="Z857" s="82"/>
    </row>
    <row r="858" spans="1:26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82"/>
      <c r="S858" s="82"/>
      <c r="T858" s="82"/>
      <c r="U858" s="82"/>
      <c r="V858" s="82"/>
      <c r="W858" s="82"/>
      <c r="X858" s="82"/>
      <c r="Y858" s="82"/>
      <c r="Z858" s="82"/>
    </row>
    <row r="859" spans="1:26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82"/>
      <c r="S859" s="82"/>
      <c r="T859" s="82"/>
      <c r="U859" s="82"/>
      <c r="V859" s="82"/>
      <c r="W859" s="82"/>
      <c r="X859" s="82"/>
      <c r="Y859" s="82"/>
      <c r="Z859" s="82"/>
    </row>
    <row r="860" spans="1:26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82"/>
      <c r="S860" s="82"/>
      <c r="T860" s="82"/>
      <c r="U860" s="82"/>
      <c r="V860" s="82"/>
      <c r="W860" s="82"/>
      <c r="X860" s="82"/>
      <c r="Y860" s="82"/>
      <c r="Z860" s="82"/>
    </row>
    <row r="861" spans="1:26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82"/>
      <c r="S861" s="82"/>
      <c r="T861" s="82"/>
      <c r="U861" s="82"/>
      <c r="V861" s="82"/>
      <c r="W861" s="82"/>
      <c r="X861" s="82"/>
      <c r="Y861" s="82"/>
      <c r="Z861" s="82"/>
    </row>
    <row r="862" spans="1:26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82"/>
      <c r="S862" s="82"/>
      <c r="T862" s="82"/>
      <c r="U862" s="82"/>
      <c r="V862" s="82"/>
      <c r="W862" s="82"/>
      <c r="X862" s="82"/>
      <c r="Y862" s="82"/>
      <c r="Z862" s="82"/>
    </row>
    <row r="863" spans="1:26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82"/>
      <c r="S863" s="82"/>
      <c r="T863" s="82"/>
      <c r="U863" s="82"/>
      <c r="V863" s="82"/>
      <c r="W863" s="82"/>
      <c r="X863" s="82"/>
      <c r="Y863" s="82"/>
      <c r="Z863" s="82"/>
    </row>
    <row r="864" spans="1:26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82"/>
      <c r="S864" s="82"/>
      <c r="T864" s="82"/>
      <c r="U864" s="82"/>
      <c r="V864" s="82"/>
      <c r="W864" s="82"/>
      <c r="X864" s="82"/>
      <c r="Y864" s="82"/>
      <c r="Z864" s="82"/>
    </row>
    <row r="865" spans="1:26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82"/>
      <c r="S865" s="82"/>
      <c r="T865" s="82"/>
      <c r="U865" s="82"/>
      <c r="V865" s="82"/>
      <c r="W865" s="82"/>
      <c r="X865" s="82"/>
      <c r="Y865" s="82"/>
      <c r="Z865" s="82"/>
    </row>
    <row r="866" spans="1:26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82"/>
      <c r="S866" s="82"/>
      <c r="T866" s="82"/>
      <c r="U866" s="82"/>
      <c r="V866" s="82"/>
      <c r="W866" s="82"/>
      <c r="X866" s="82"/>
      <c r="Y866" s="82"/>
      <c r="Z866" s="82"/>
    </row>
    <row r="867" spans="1:26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82"/>
      <c r="S867" s="82"/>
      <c r="T867" s="82"/>
      <c r="U867" s="82"/>
      <c r="V867" s="82"/>
      <c r="W867" s="82"/>
      <c r="X867" s="82"/>
      <c r="Y867" s="82"/>
      <c r="Z867" s="82"/>
    </row>
    <row r="868" spans="1:26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82"/>
      <c r="S868" s="82"/>
      <c r="T868" s="82"/>
      <c r="U868" s="82"/>
      <c r="V868" s="82"/>
      <c r="W868" s="82"/>
      <c r="X868" s="82"/>
      <c r="Y868" s="82"/>
      <c r="Z868" s="82"/>
    </row>
    <row r="869" spans="1:26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2"/>
      <c r="V869" s="82"/>
      <c r="W869" s="82"/>
      <c r="X869" s="82"/>
      <c r="Y869" s="82"/>
      <c r="Z869" s="82"/>
    </row>
    <row r="870" spans="1:26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82"/>
      <c r="S870" s="82"/>
      <c r="T870" s="82"/>
      <c r="U870" s="82"/>
      <c r="V870" s="82"/>
      <c r="W870" s="82"/>
      <c r="X870" s="82"/>
      <c r="Y870" s="82"/>
      <c r="Z870" s="82"/>
    </row>
    <row r="871" spans="1:26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82"/>
      <c r="S871" s="82"/>
      <c r="T871" s="82"/>
      <c r="U871" s="82"/>
      <c r="V871" s="82"/>
      <c r="W871" s="82"/>
      <c r="X871" s="82"/>
      <c r="Y871" s="82"/>
      <c r="Z871" s="82"/>
    </row>
    <row r="872" spans="1:26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82"/>
      <c r="S872" s="82"/>
      <c r="T872" s="82"/>
      <c r="U872" s="82"/>
      <c r="V872" s="82"/>
      <c r="W872" s="82"/>
      <c r="X872" s="82"/>
      <c r="Y872" s="82"/>
      <c r="Z872" s="82"/>
    </row>
    <row r="873" spans="1:26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82"/>
      <c r="S873" s="82"/>
      <c r="T873" s="82"/>
      <c r="U873" s="82"/>
      <c r="V873" s="82"/>
      <c r="W873" s="82"/>
      <c r="X873" s="82"/>
      <c r="Y873" s="82"/>
      <c r="Z873" s="82"/>
    </row>
    <row r="874" spans="1:26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82"/>
      <c r="S874" s="82"/>
      <c r="T874" s="82"/>
      <c r="U874" s="82"/>
      <c r="V874" s="82"/>
      <c r="W874" s="82"/>
      <c r="X874" s="82"/>
      <c r="Y874" s="82"/>
      <c r="Z874" s="82"/>
    </row>
    <row r="875" spans="1:26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82"/>
      <c r="S875" s="82"/>
      <c r="T875" s="82"/>
      <c r="U875" s="82"/>
      <c r="V875" s="82"/>
      <c r="W875" s="82"/>
      <c r="X875" s="82"/>
      <c r="Y875" s="82"/>
      <c r="Z875" s="82"/>
    </row>
    <row r="876" spans="1:26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82"/>
      <c r="S876" s="82"/>
      <c r="T876" s="82"/>
      <c r="U876" s="82"/>
      <c r="V876" s="82"/>
      <c r="W876" s="82"/>
      <c r="X876" s="82"/>
      <c r="Y876" s="82"/>
      <c r="Z876" s="82"/>
    </row>
    <row r="877" spans="1:26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82"/>
      <c r="S877" s="82"/>
      <c r="T877" s="82"/>
      <c r="U877" s="82"/>
      <c r="V877" s="82"/>
      <c r="W877" s="82"/>
      <c r="X877" s="82"/>
      <c r="Y877" s="82"/>
      <c r="Z877" s="82"/>
    </row>
    <row r="878" spans="1:26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82"/>
      <c r="S878" s="82"/>
      <c r="T878" s="82"/>
      <c r="U878" s="82"/>
      <c r="V878" s="82"/>
      <c r="W878" s="82"/>
      <c r="X878" s="82"/>
      <c r="Y878" s="82"/>
      <c r="Z878" s="82"/>
    </row>
    <row r="879" spans="1:26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82"/>
      <c r="S879" s="82"/>
      <c r="T879" s="82"/>
      <c r="U879" s="82"/>
      <c r="V879" s="82"/>
      <c r="W879" s="82"/>
      <c r="X879" s="82"/>
      <c r="Y879" s="82"/>
      <c r="Z879" s="82"/>
    </row>
    <row r="880" spans="1:26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82"/>
      <c r="S880" s="82"/>
      <c r="T880" s="82"/>
      <c r="U880" s="82"/>
      <c r="V880" s="82"/>
      <c r="W880" s="82"/>
      <c r="X880" s="82"/>
      <c r="Y880" s="82"/>
      <c r="Z880" s="82"/>
    </row>
    <row r="881" spans="1:26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82"/>
      <c r="S881" s="82"/>
      <c r="T881" s="82"/>
      <c r="U881" s="82"/>
      <c r="V881" s="82"/>
      <c r="W881" s="82"/>
      <c r="X881" s="82"/>
      <c r="Y881" s="82"/>
      <c r="Z881" s="82"/>
    </row>
    <row r="882" spans="1:26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82"/>
      <c r="S882" s="82"/>
      <c r="T882" s="82"/>
      <c r="U882" s="82"/>
      <c r="V882" s="82"/>
      <c r="W882" s="82"/>
      <c r="X882" s="82"/>
      <c r="Y882" s="82"/>
      <c r="Z882" s="82"/>
    </row>
    <row r="883" spans="1:26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82"/>
      <c r="S883" s="82"/>
      <c r="T883" s="82"/>
      <c r="U883" s="82"/>
      <c r="V883" s="82"/>
      <c r="W883" s="82"/>
      <c r="X883" s="82"/>
      <c r="Y883" s="82"/>
      <c r="Z883" s="82"/>
    </row>
    <row r="884" spans="1:26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82"/>
      <c r="S884" s="82"/>
      <c r="T884" s="82"/>
      <c r="U884" s="82"/>
      <c r="V884" s="82"/>
      <c r="W884" s="82"/>
      <c r="X884" s="82"/>
      <c r="Y884" s="82"/>
      <c r="Z884" s="82"/>
    </row>
    <row r="885" spans="1:26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82"/>
      <c r="S885" s="82"/>
      <c r="T885" s="82"/>
      <c r="U885" s="82"/>
      <c r="V885" s="82"/>
      <c r="W885" s="82"/>
      <c r="X885" s="82"/>
      <c r="Y885" s="82"/>
      <c r="Z885" s="82"/>
    </row>
    <row r="886" spans="1:26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82"/>
      <c r="S886" s="82"/>
      <c r="T886" s="82"/>
      <c r="U886" s="82"/>
      <c r="V886" s="82"/>
      <c r="W886" s="82"/>
      <c r="X886" s="82"/>
      <c r="Y886" s="82"/>
      <c r="Z886" s="82"/>
    </row>
    <row r="887" spans="1:26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82"/>
      <c r="S887" s="82"/>
      <c r="T887" s="82"/>
      <c r="U887" s="82"/>
      <c r="V887" s="82"/>
      <c r="W887" s="82"/>
      <c r="X887" s="82"/>
      <c r="Y887" s="82"/>
      <c r="Z887" s="82"/>
    </row>
    <row r="888" spans="1:26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82"/>
      <c r="S888" s="82"/>
      <c r="T888" s="82"/>
      <c r="U888" s="82"/>
      <c r="V888" s="82"/>
      <c r="W888" s="82"/>
      <c r="X888" s="82"/>
      <c r="Y888" s="82"/>
      <c r="Z888" s="82"/>
    </row>
    <row r="889" spans="1:26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82"/>
      <c r="S889" s="82"/>
      <c r="T889" s="82"/>
      <c r="U889" s="82"/>
      <c r="V889" s="82"/>
      <c r="W889" s="82"/>
      <c r="X889" s="82"/>
      <c r="Y889" s="82"/>
      <c r="Z889" s="82"/>
    </row>
    <row r="890" spans="1:26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82"/>
      <c r="S890" s="82"/>
      <c r="T890" s="82"/>
      <c r="U890" s="82"/>
      <c r="V890" s="82"/>
      <c r="W890" s="82"/>
      <c r="X890" s="82"/>
      <c r="Y890" s="82"/>
      <c r="Z890" s="82"/>
    </row>
    <row r="891" spans="1:26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82"/>
      <c r="S891" s="82"/>
      <c r="T891" s="82"/>
      <c r="U891" s="82"/>
      <c r="V891" s="82"/>
      <c r="W891" s="82"/>
      <c r="X891" s="82"/>
      <c r="Y891" s="82"/>
      <c r="Z891" s="82"/>
    </row>
    <row r="892" spans="1:26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82"/>
      <c r="S892" s="82"/>
      <c r="T892" s="82"/>
      <c r="U892" s="82"/>
      <c r="V892" s="82"/>
      <c r="W892" s="82"/>
      <c r="X892" s="82"/>
      <c r="Y892" s="82"/>
      <c r="Z892" s="82"/>
    </row>
    <row r="893" spans="1:26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82"/>
      <c r="S893" s="82"/>
      <c r="T893" s="82"/>
      <c r="U893" s="82"/>
      <c r="V893" s="82"/>
      <c r="W893" s="82"/>
      <c r="X893" s="82"/>
      <c r="Y893" s="82"/>
      <c r="Z893" s="82"/>
    </row>
    <row r="894" spans="1:26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82"/>
      <c r="S894" s="82"/>
      <c r="T894" s="82"/>
      <c r="U894" s="82"/>
      <c r="V894" s="82"/>
      <c r="W894" s="82"/>
      <c r="X894" s="82"/>
      <c r="Y894" s="82"/>
      <c r="Z894" s="82"/>
    </row>
    <row r="895" spans="1:26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82"/>
      <c r="S895" s="82"/>
      <c r="T895" s="82"/>
      <c r="U895" s="82"/>
      <c r="V895" s="82"/>
      <c r="W895" s="82"/>
      <c r="X895" s="82"/>
      <c r="Y895" s="82"/>
      <c r="Z895" s="82"/>
    </row>
    <row r="896" spans="1:26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82"/>
      <c r="S896" s="82"/>
      <c r="T896" s="82"/>
      <c r="U896" s="82"/>
      <c r="V896" s="82"/>
      <c r="W896" s="82"/>
      <c r="X896" s="82"/>
      <c r="Y896" s="82"/>
      <c r="Z896" s="82"/>
    </row>
    <row r="897" spans="1:26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82"/>
      <c r="S897" s="82"/>
      <c r="T897" s="82"/>
      <c r="U897" s="82"/>
      <c r="V897" s="82"/>
      <c r="W897" s="82"/>
      <c r="X897" s="82"/>
      <c r="Y897" s="82"/>
      <c r="Z897" s="82"/>
    </row>
    <row r="898" spans="1:26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82"/>
      <c r="S898" s="82"/>
      <c r="T898" s="82"/>
      <c r="U898" s="82"/>
      <c r="V898" s="82"/>
      <c r="W898" s="82"/>
      <c r="X898" s="82"/>
      <c r="Y898" s="82"/>
      <c r="Z898" s="82"/>
    </row>
    <row r="899" spans="1:26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82"/>
      <c r="S899" s="82"/>
      <c r="T899" s="82"/>
      <c r="U899" s="82"/>
      <c r="V899" s="82"/>
      <c r="W899" s="82"/>
      <c r="X899" s="82"/>
      <c r="Y899" s="82"/>
      <c r="Z899" s="82"/>
    </row>
    <row r="900" spans="1:26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82"/>
      <c r="S900" s="82"/>
      <c r="T900" s="82"/>
      <c r="U900" s="82"/>
      <c r="V900" s="82"/>
      <c r="W900" s="82"/>
      <c r="X900" s="82"/>
      <c r="Y900" s="82"/>
      <c r="Z900" s="82"/>
    </row>
    <row r="901" spans="1:26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82"/>
      <c r="S901" s="82"/>
      <c r="T901" s="82"/>
      <c r="U901" s="82"/>
      <c r="V901" s="82"/>
      <c r="W901" s="82"/>
      <c r="X901" s="82"/>
      <c r="Y901" s="82"/>
      <c r="Z901" s="82"/>
    </row>
    <row r="902" spans="1:26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82"/>
      <c r="S902" s="82"/>
      <c r="T902" s="82"/>
      <c r="U902" s="82"/>
      <c r="V902" s="82"/>
      <c r="W902" s="82"/>
      <c r="X902" s="82"/>
      <c r="Y902" s="82"/>
      <c r="Z902" s="82"/>
    </row>
    <row r="903" spans="1:26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82"/>
      <c r="S903" s="82"/>
      <c r="T903" s="82"/>
      <c r="U903" s="82"/>
      <c r="V903" s="82"/>
      <c r="W903" s="82"/>
      <c r="X903" s="82"/>
      <c r="Y903" s="82"/>
      <c r="Z903" s="82"/>
    </row>
    <row r="904" spans="1:26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82"/>
      <c r="S904" s="82"/>
      <c r="T904" s="82"/>
      <c r="U904" s="82"/>
      <c r="V904" s="82"/>
      <c r="W904" s="82"/>
      <c r="X904" s="82"/>
      <c r="Y904" s="82"/>
      <c r="Z904" s="82"/>
    </row>
    <row r="905" spans="1:26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82"/>
      <c r="S905" s="82"/>
      <c r="T905" s="82"/>
      <c r="U905" s="82"/>
      <c r="V905" s="82"/>
      <c r="W905" s="82"/>
      <c r="X905" s="82"/>
      <c r="Y905" s="82"/>
      <c r="Z905" s="82"/>
    </row>
    <row r="906" spans="1:26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82"/>
      <c r="S906" s="82"/>
      <c r="T906" s="82"/>
      <c r="U906" s="82"/>
      <c r="V906" s="82"/>
      <c r="W906" s="82"/>
      <c r="X906" s="82"/>
      <c r="Y906" s="82"/>
      <c r="Z906" s="82"/>
    </row>
    <row r="907" spans="1:26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82"/>
      <c r="S907" s="82"/>
      <c r="T907" s="82"/>
      <c r="U907" s="82"/>
      <c r="V907" s="82"/>
      <c r="W907" s="82"/>
      <c r="X907" s="82"/>
      <c r="Y907" s="82"/>
      <c r="Z907" s="82"/>
    </row>
    <row r="908" spans="1:26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82"/>
      <c r="S908" s="82"/>
      <c r="T908" s="82"/>
      <c r="U908" s="82"/>
      <c r="V908" s="82"/>
      <c r="W908" s="82"/>
      <c r="X908" s="82"/>
      <c r="Y908" s="82"/>
      <c r="Z908" s="82"/>
    </row>
    <row r="909" spans="1:26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82"/>
      <c r="S909" s="82"/>
      <c r="T909" s="82"/>
      <c r="U909" s="82"/>
      <c r="V909" s="82"/>
      <c r="W909" s="82"/>
      <c r="X909" s="82"/>
      <c r="Y909" s="82"/>
      <c r="Z909" s="82"/>
    </row>
    <row r="910" spans="1:26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82"/>
      <c r="S910" s="82"/>
      <c r="T910" s="82"/>
      <c r="U910" s="82"/>
      <c r="V910" s="82"/>
      <c r="W910" s="82"/>
      <c r="X910" s="82"/>
      <c r="Y910" s="82"/>
      <c r="Z910" s="82"/>
    </row>
    <row r="911" spans="1:26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82"/>
      <c r="S911" s="82"/>
      <c r="T911" s="82"/>
      <c r="U911" s="82"/>
      <c r="V911" s="82"/>
      <c r="W911" s="82"/>
      <c r="X911" s="82"/>
      <c r="Y911" s="82"/>
      <c r="Z911" s="82"/>
    </row>
    <row r="912" spans="1:26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82"/>
      <c r="S912" s="82"/>
      <c r="T912" s="82"/>
      <c r="U912" s="82"/>
      <c r="V912" s="82"/>
      <c r="W912" s="82"/>
      <c r="X912" s="82"/>
      <c r="Y912" s="82"/>
      <c r="Z912" s="82"/>
    </row>
    <row r="913" spans="1:26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82"/>
      <c r="S913" s="82"/>
      <c r="T913" s="82"/>
      <c r="U913" s="82"/>
      <c r="V913" s="82"/>
      <c r="W913" s="82"/>
      <c r="X913" s="82"/>
      <c r="Y913" s="82"/>
      <c r="Z913" s="82"/>
    </row>
    <row r="914" spans="1:26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82"/>
      <c r="S914" s="82"/>
      <c r="T914" s="82"/>
      <c r="U914" s="82"/>
      <c r="V914" s="82"/>
      <c r="W914" s="82"/>
      <c r="X914" s="82"/>
      <c r="Y914" s="82"/>
      <c r="Z914" s="82"/>
    </row>
    <row r="915" spans="1:26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82"/>
      <c r="S915" s="82"/>
      <c r="T915" s="82"/>
      <c r="U915" s="82"/>
      <c r="V915" s="82"/>
      <c r="W915" s="82"/>
      <c r="X915" s="82"/>
      <c r="Y915" s="82"/>
      <c r="Z915" s="82"/>
    </row>
    <row r="916" spans="1:26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82"/>
      <c r="S916" s="82"/>
      <c r="T916" s="82"/>
      <c r="U916" s="82"/>
      <c r="V916" s="82"/>
      <c r="W916" s="82"/>
      <c r="X916" s="82"/>
      <c r="Y916" s="82"/>
      <c r="Z916" s="82"/>
    </row>
    <row r="917" spans="1:26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82"/>
      <c r="S917" s="82"/>
      <c r="T917" s="82"/>
      <c r="U917" s="82"/>
      <c r="V917" s="82"/>
      <c r="W917" s="82"/>
      <c r="X917" s="82"/>
      <c r="Y917" s="82"/>
      <c r="Z917" s="82"/>
    </row>
    <row r="918" spans="1:26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82"/>
      <c r="S918" s="82"/>
      <c r="T918" s="82"/>
      <c r="U918" s="82"/>
      <c r="V918" s="82"/>
      <c r="W918" s="82"/>
      <c r="X918" s="82"/>
      <c r="Y918" s="82"/>
      <c r="Z918" s="82"/>
    </row>
    <row r="919" spans="1:26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82"/>
      <c r="S919" s="82"/>
      <c r="T919" s="82"/>
      <c r="U919" s="82"/>
      <c r="V919" s="82"/>
      <c r="W919" s="82"/>
      <c r="X919" s="82"/>
      <c r="Y919" s="82"/>
      <c r="Z919" s="82"/>
    </row>
    <row r="920" spans="1:26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82"/>
      <c r="S920" s="82"/>
      <c r="T920" s="82"/>
      <c r="U920" s="82"/>
      <c r="V920" s="82"/>
      <c r="W920" s="82"/>
      <c r="X920" s="82"/>
      <c r="Y920" s="82"/>
      <c r="Z920" s="82"/>
    </row>
    <row r="921" spans="1:26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82"/>
      <c r="S921" s="82"/>
      <c r="T921" s="82"/>
      <c r="U921" s="82"/>
      <c r="V921" s="82"/>
      <c r="W921" s="82"/>
      <c r="X921" s="82"/>
      <c r="Y921" s="82"/>
      <c r="Z921" s="82"/>
    </row>
    <row r="922" spans="1:26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82"/>
      <c r="S922" s="82"/>
      <c r="T922" s="82"/>
      <c r="U922" s="82"/>
      <c r="V922" s="82"/>
      <c r="W922" s="82"/>
      <c r="X922" s="82"/>
      <c r="Y922" s="82"/>
      <c r="Z922" s="82"/>
    </row>
    <row r="923" spans="1:26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82"/>
      <c r="S923" s="82"/>
      <c r="T923" s="82"/>
      <c r="U923" s="82"/>
      <c r="V923" s="82"/>
      <c r="W923" s="82"/>
      <c r="X923" s="82"/>
      <c r="Y923" s="82"/>
      <c r="Z923" s="82"/>
    </row>
    <row r="924" spans="1:26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82"/>
      <c r="S924" s="82"/>
      <c r="T924" s="82"/>
      <c r="U924" s="82"/>
      <c r="V924" s="82"/>
      <c r="W924" s="82"/>
      <c r="X924" s="82"/>
      <c r="Y924" s="82"/>
      <c r="Z924" s="82"/>
    </row>
    <row r="925" spans="1:26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82"/>
      <c r="S925" s="82"/>
      <c r="T925" s="82"/>
      <c r="U925" s="82"/>
      <c r="V925" s="82"/>
      <c r="W925" s="82"/>
      <c r="X925" s="82"/>
      <c r="Y925" s="82"/>
      <c r="Z925" s="82"/>
    </row>
    <row r="926" spans="1:26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82"/>
      <c r="S926" s="82"/>
      <c r="T926" s="82"/>
      <c r="U926" s="82"/>
      <c r="V926" s="82"/>
      <c r="W926" s="82"/>
      <c r="X926" s="82"/>
      <c r="Y926" s="82"/>
      <c r="Z926" s="82"/>
    </row>
    <row r="927" spans="1:26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82"/>
      <c r="S927" s="82"/>
      <c r="T927" s="82"/>
      <c r="U927" s="82"/>
      <c r="V927" s="82"/>
      <c r="W927" s="82"/>
      <c r="X927" s="82"/>
      <c r="Y927" s="82"/>
      <c r="Z927" s="82"/>
    </row>
    <row r="928" spans="1:26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82"/>
      <c r="S928" s="82"/>
      <c r="T928" s="82"/>
      <c r="U928" s="82"/>
      <c r="V928" s="82"/>
      <c r="W928" s="82"/>
      <c r="X928" s="82"/>
      <c r="Y928" s="82"/>
      <c r="Z928" s="82"/>
    </row>
    <row r="929" spans="1:26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82"/>
      <c r="S929" s="82"/>
      <c r="T929" s="82"/>
      <c r="U929" s="82"/>
      <c r="V929" s="82"/>
      <c r="W929" s="82"/>
      <c r="X929" s="82"/>
      <c r="Y929" s="82"/>
      <c r="Z929" s="82"/>
    </row>
    <row r="930" spans="1:26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82"/>
      <c r="S930" s="82"/>
      <c r="T930" s="82"/>
      <c r="U930" s="82"/>
      <c r="V930" s="82"/>
      <c r="W930" s="82"/>
      <c r="X930" s="82"/>
      <c r="Y930" s="82"/>
      <c r="Z930" s="82"/>
    </row>
    <row r="931" spans="1:26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82"/>
      <c r="S931" s="82"/>
      <c r="T931" s="82"/>
      <c r="U931" s="82"/>
      <c r="V931" s="82"/>
      <c r="W931" s="82"/>
      <c r="X931" s="82"/>
      <c r="Y931" s="82"/>
      <c r="Z931" s="82"/>
    </row>
    <row r="932" spans="1:26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82"/>
      <c r="S932" s="82"/>
      <c r="T932" s="82"/>
      <c r="U932" s="82"/>
      <c r="V932" s="82"/>
      <c r="W932" s="82"/>
      <c r="X932" s="82"/>
      <c r="Y932" s="82"/>
      <c r="Z932" s="82"/>
    </row>
    <row r="933" spans="1:26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82"/>
      <c r="S933" s="82"/>
      <c r="T933" s="82"/>
      <c r="U933" s="82"/>
      <c r="V933" s="82"/>
      <c r="W933" s="82"/>
      <c r="X933" s="82"/>
      <c r="Y933" s="82"/>
      <c r="Z933" s="82"/>
    </row>
    <row r="934" spans="1:26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82"/>
      <c r="S934" s="82"/>
      <c r="T934" s="82"/>
      <c r="U934" s="82"/>
      <c r="V934" s="82"/>
      <c r="W934" s="82"/>
      <c r="X934" s="82"/>
      <c r="Y934" s="82"/>
      <c r="Z934" s="82"/>
    </row>
    <row r="935" spans="1:26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82"/>
      <c r="S935" s="82"/>
      <c r="T935" s="82"/>
      <c r="U935" s="82"/>
      <c r="V935" s="82"/>
      <c r="W935" s="82"/>
      <c r="X935" s="82"/>
      <c r="Y935" s="82"/>
      <c r="Z935" s="82"/>
    </row>
    <row r="936" spans="1:26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  <c r="V936" s="82"/>
      <c r="W936" s="82"/>
      <c r="X936" s="82"/>
      <c r="Y936" s="82"/>
      <c r="Z936" s="82"/>
    </row>
    <row r="937" spans="1:26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  <c r="V937" s="82"/>
      <c r="W937" s="82"/>
      <c r="X937" s="82"/>
      <c r="Y937" s="82"/>
      <c r="Z937" s="82"/>
    </row>
    <row r="938" spans="1:26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  <c r="V938" s="82"/>
      <c r="W938" s="82"/>
      <c r="X938" s="82"/>
      <c r="Y938" s="82"/>
      <c r="Z938" s="82"/>
    </row>
    <row r="939" spans="1:26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  <c r="V939" s="82"/>
      <c r="W939" s="82"/>
      <c r="X939" s="82"/>
      <c r="Y939" s="82"/>
      <c r="Z939" s="82"/>
    </row>
    <row r="940" spans="1:26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  <c r="V940" s="82"/>
      <c r="W940" s="82"/>
      <c r="X940" s="82"/>
      <c r="Y940" s="82"/>
      <c r="Z940" s="82"/>
    </row>
    <row r="941" spans="1:26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  <c r="V941" s="82"/>
      <c r="W941" s="82"/>
      <c r="X941" s="82"/>
      <c r="Y941" s="82"/>
      <c r="Z941" s="82"/>
    </row>
    <row r="942" spans="1:26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  <c r="V942" s="82"/>
      <c r="W942" s="82"/>
      <c r="X942" s="82"/>
      <c r="Y942" s="82"/>
      <c r="Z942" s="82"/>
    </row>
    <row r="943" spans="1:26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  <c r="V943" s="82"/>
      <c r="W943" s="82"/>
      <c r="X943" s="82"/>
      <c r="Y943" s="82"/>
      <c r="Z943" s="82"/>
    </row>
    <row r="944" spans="1:26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  <c r="V944" s="82"/>
      <c r="W944" s="82"/>
      <c r="X944" s="82"/>
      <c r="Y944" s="82"/>
      <c r="Z944" s="82"/>
    </row>
    <row r="945" spans="1:26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  <c r="V945" s="82"/>
      <c r="W945" s="82"/>
      <c r="X945" s="82"/>
      <c r="Y945" s="82"/>
      <c r="Z945" s="82"/>
    </row>
    <row r="946" spans="1:26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  <c r="V946" s="82"/>
      <c r="W946" s="82"/>
      <c r="X946" s="82"/>
      <c r="Y946" s="82"/>
      <c r="Z946" s="82"/>
    </row>
    <row r="947" spans="1:26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2"/>
      <c r="W947" s="82"/>
      <c r="X947" s="82"/>
      <c r="Y947" s="82"/>
      <c r="Z947" s="82"/>
    </row>
    <row r="948" spans="1:26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  <c r="V948" s="82"/>
      <c r="W948" s="82"/>
      <c r="X948" s="82"/>
      <c r="Y948" s="82"/>
      <c r="Z948" s="82"/>
    </row>
    <row r="949" spans="1:26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  <c r="V949" s="82"/>
      <c r="W949" s="82"/>
      <c r="X949" s="82"/>
      <c r="Y949" s="82"/>
      <c r="Z949" s="82"/>
    </row>
    <row r="950" spans="1:26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  <c r="V950" s="82"/>
      <c r="W950" s="82"/>
      <c r="X950" s="82"/>
      <c r="Y950" s="82"/>
      <c r="Z950" s="82"/>
    </row>
    <row r="951" spans="1:26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  <c r="V951" s="82"/>
      <c r="W951" s="82"/>
      <c r="X951" s="82"/>
      <c r="Y951" s="82"/>
      <c r="Z951" s="82"/>
    </row>
    <row r="952" spans="1:26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  <c r="V952" s="82"/>
      <c r="W952" s="82"/>
      <c r="X952" s="82"/>
      <c r="Y952" s="82"/>
      <c r="Z952" s="82"/>
    </row>
    <row r="953" spans="1:26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  <c r="V953" s="82"/>
      <c r="W953" s="82"/>
      <c r="X953" s="82"/>
      <c r="Y953" s="82"/>
      <c r="Z953" s="82"/>
    </row>
    <row r="954" spans="1:26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  <c r="V954" s="82"/>
      <c r="W954" s="82"/>
      <c r="X954" s="82"/>
      <c r="Y954" s="82"/>
      <c r="Z954" s="82"/>
    </row>
    <row r="955" spans="1:26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  <c r="V955" s="82"/>
      <c r="W955" s="82"/>
      <c r="X955" s="82"/>
      <c r="Y955" s="82"/>
      <c r="Z955" s="82"/>
    </row>
    <row r="956" spans="1:26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  <c r="V956" s="82"/>
      <c r="W956" s="82"/>
      <c r="X956" s="82"/>
      <c r="Y956" s="82"/>
      <c r="Z956" s="82"/>
    </row>
    <row r="957" spans="1:26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  <c r="V957" s="82"/>
      <c r="W957" s="82"/>
      <c r="X957" s="82"/>
      <c r="Y957" s="82"/>
      <c r="Z957" s="82"/>
    </row>
    <row r="958" spans="1:26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  <c r="V958" s="82"/>
      <c r="W958" s="82"/>
      <c r="X958" s="82"/>
      <c r="Y958" s="82"/>
      <c r="Z958" s="82"/>
    </row>
    <row r="959" spans="1:26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  <c r="V959" s="82"/>
      <c r="W959" s="82"/>
      <c r="X959" s="82"/>
      <c r="Y959" s="82"/>
      <c r="Z959" s="82"/>
    </row>
    <row r="960" spans="1:26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  <c r="V960" s="82"/>
      <c r="W960" s="82"/>
      <c r="X960" s="82"/>
      <c r="Y960" s="82"/>
      <c r="Z960" s="82"/>
    </row>
    <row r="961" spans="1:26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  <c r="V961" s="82"/>
      <c r="W961" s="82"/>
      <c r="X961" s="82"/>
      <c r="Y961" s="82"/>
      <c r="Z961" s="82"/>
    </row>
    <row r="962" spans="1:26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  <c r="V962" s="82"/>
      <c r="W962" s="82"/>
      <c r="X962" s="82"/>
      <c r="Y962" s="82"/>
      <c r="Z962" s="82"/>
    </row>
    <row r="963" spans="1:26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  <c r="V963" s="82"/>
      <c r="W963" s="82"/>
      <c r="X963" s="82"/>
      <c r="Y963" s="82"/>
      <c r="Z963" s="82"/>
    </row>
    <row r="964" spans="1:26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  <c r="V964" s="82"/>
      <c r="W964" s="82"/>
      <c r="X964" s="82"/>
      <c r="Y964" s="82"/>
      <c r="Z964" s="82"/>
    </row>
    <row r="965" spans="1:26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  <c r="V965" s="82"/>
      <c r="W965" s="82"/>
      <c r="X965" s="82"/>
      <c r="Y965" s="82"/>
      <c r="Z965" s="82"/>
    </row>
    <row r="966" spans="1:26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  <c r="V966" s="82"/>
      <c r="W966" s="82"/>
      <c r="X966" s="82"/>
      <c r="Y966" s="82"/>
      <c r="Z966" s="82"/>
    </row>
    <row r="967" spans="1:26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  <c r="V967" s="82"/>
      <c r="W967" s="82"/>
      <c r="X967" s="82"/>
      <c r="Y967" s="82"/>
      <c r="Z967" s="82"/>
    </row>
    <row r="968" spans="1:26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  <c r="V968" s="82"/>
      <c r="W968" s="82"/>
      <c r="X968" s="82"/>
      <c r="Y968" s="82"/>
      <c r="Z968" s="82"/>
    </row>
    <row r="969" spans="1:26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  <c r="V969" s="82"/>
      <c r="W969" s="82"/>
      <c r="X969" s="82"/>
      <c r="Y969" s="82"/>
      <c r="Z969" s="82"/>
    </row>
    <row r="970" spans="1:26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  <c r="V970" s="82"/>
      <c r="W970" s="82"/>
      <c r="X970" s="82"/>
      <c r="Y970" s="82"/>
      <c r="Z970" s="82"/>
    </row>
    <row r="971" spans="1:26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  <c r="V971" s="82"/>
      <c r="W971" s="82"/>
      <c r="X971" s="82"/>
      <c r="Y971" s="82"/>
      <c r="Z971" s="82"/>
    </row>
    <row r="972" spans="1:26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  <c r="V972" s="82"/>
      <c r="W972" s="82"/>
      <c r="X972" s="82"/>
      <c r="Y972" s="82"/>
      <c r="Z972" s="82"/>
    </row>
    <row r="973" spans="1:26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  <c r="V973" s="82"/>
      <c r="W973" s="82"/>
      <c r="X973" s="82"/>
      <c r="Y973" s="82"/>
      <c r="Z973" s="82"/>
    </row>
    <row r="974" spans="1:26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  <c r="V974" s="82"/>
      <c r="W974" s="82"/>
      <c r="X974" s="82"/>
      <c r="Y974" s="82"/>
      <c r="Z974" s="82"/>
    </row>
    <row r="975" spans="1:26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  <c r="V975" s="82"/>
      <c r="W975" s="82"/>
      <c r="X975" s="82"/>
      <c r="Y975" s="82"/>
      <c r="Z975" s="82"/>
    </row>
    <row r="976" spans="1:26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  <c r="V976" s="82"/>
      <c r="W976" s="82"/>
      <c r="X976" s="82"/>
      <c r="Y976" s="82"/>
      <c r="Z976" s="82"/>
    </row>
    <row r="977" spans="1:26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  <c r="V977" s="82"/>
      <c r="W977" s="82"/>
      <c r="X977" s="82"/>
      <c r="Y977" s="82"/>
      <c r="Z977" s="82"/>
    </row>
    <row r="978" spans="1:26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  <c r="V978" s="82"/>
      <c r="W978" s="82"/>
      <c r="X978" s="82"/>
      <c r="Y978" s="82"/>
      <c r="Z978" s="82"/>
    </row>
    <row r="979" spans="1:26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  <c r="V979" s="82"/>
      <c r="W979" s="82"/>
      <c r="X979" s="82"/>
      <c r="Y979" s="82"/>
      <c r="Z979" s="82"/>
    </row>
    <row r="980" spans="1:26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  <c r="V980" s="82"/>
      <c r="W980" s="82"/>
      <c r="X980" s="82"/>
      <c r="Y980" s="82"/>
      <c r="Z980" s="82"/>
    </row>
    <row r="981" spans="1:26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  <c r="V981" s="82"/>
      <c r="W981" s="82"/>
      <c r="X981" s="82"/>
      <c r="Y981" s="82"/>
      <c r="Z981" s="82"/>
    </row>
    <row r="982" spans="1:26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  <c r="V982" s="82"/>
      <c r="W982" s="82"/>
      <c r="X982" s="82"/>
      <c r="Y982" s="82"/>
      <c r="Z982" s="82"/>
    </row>
    <row r="983" spans="1:26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  <c r="V983" s="82"/>
      <c r="W983" s="82"/>
      <c r="X983" s="82"/>
      <c r="Y983" s="82"/>
      <c r="Z983" s="82"/>
    </row>
    <row r="984" spans="1:26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  <c r="V984" s="82"/>
      <c r="W984" s="82"/>
      <c r="X984" s="82"/>
      <c r="Y984" s="82"/>
      <c r="Z984" s="82"/>
    </row>
    <row r="985" spans="1:26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  <c r="V985" s="82"/>
      <c r="W985" s="82"/>
      <c r="X985" s="82"/>
      <c r="Y985" s="82"/>
      <c r="Z985" s="82"/>
    </row>
    <row r="986" spans="1:26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  <c r="V986" s="82"/>
      <c r="W986" s="82"/>
      <c r="X986" s="82"/>
      <c r="Y986" s="82"/>
      <c r="Z986" s="82"/>
    </row>
    <row r="987" spans="1:26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  <c r="V987" s="82"/>
      <c r="W987" s="82"/>
      <c r="X987" s="82"/>
      <c r="Y987" s="82"/>
      <c r="Z987" s="82"/>
    </row>
    <row r="988" spans="1:26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  <c r="V988" s="82"/>
      <c r="W988" s="82"/>
      <c r="X988" s="82"/>
      <c r="Y988" s="82"/>
      <c r="Z988" s="82"/>
    </row>
    <row r="989" spans="1:26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  <c r="V989" s="82"/>
      <c r="W989" s="82"/>
      <c r="X989" s="82"/>
      <c r="Y989" s="82"/>
      <c r="Z989" s="82"/>
    </row>
    <row r="990" spans="1:26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82"/>
      <c r="S990" s="82"/>
      <c r="T990" s="82"/>
      <c r="U990" s="82"/>
      <c r="V990" s="82"/>
      <c r="W990" s="82"/>
      <c r="X990" s="82"/>
      <c r="Y990" s="82"/>
      <c r="Z990" s="82"/>
    </row>
    <row r="991" spans="1:26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82"/>
      <c r="S991" s="82"/>
      <c r="T991" s="82"/>
      <c r="U991" s="82"/>
      <c r="V991" s="82"/>
      <c r="W991" s="82"/>
      <c r="X991" s="82"/>
      <c r="Y991" s="82"/>
      <c r="Z991" s="82"/>
    </row>
    <row r="992" spans="1:26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82"/>
      <c r="S992" s="82"/>
      <c r="T992" s="82"/>
      <c r="U992" s="82"/>
      <c r="V992" s="82"/>
      <c r="W992" s="82"/>
      <c r="X992" s="82"/>
      <c r="Y992" s="82"/>
      <c r="Z992" s="82"/>
    </row>
    <row r="993" spans="1:26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82"/>
      <c r="S993" s="82"/>
      <c r="T993" s="82"/>
      <c r="U993" s="82"/>
      <c r="V993" s="82"/>
      <c r="W993" s="82"/>
      <c r="X993" s="82"/>
      <c r="Y993" s="82"/>
      <c r="Z993" s="82"/>
    </row>
    <row r="994" spans="1:26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82"/>
      <c r="S994" s="82"/>
      <c r="T994" s="82"/>
      <c r="U994" s="82"/>
      <c r="V994" s="82"/>
      <c r="W994" s="82"/>
      <c r="X994" s="82"/>
      <c r="Y994" s="82"/>
      <c r="Z994" s="82"/>
    </row>
    <row r="995" spans="1:26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82"/>
      <c r="S995" s="82"/>
      <c r="T995" s="82"/>
      <c r="U995" s="82"/>
      <c r="V995" s="82"/>
      <c r="W995" s="82"/>
      <c r="X995" s="82"/>
      <c r="Y995" s="82"/>
      <c r="Z995" s="82"/>
    </row>
    <row r="996" spans="1:26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82"/>
      <c r="S996" s="82"/>
      <c r="T996" s="82"/>
      <c r="U996" s="82"/>
      <c r="V996" s="82"/>
      <c r="W996" s="82"/>
      <c r="X996" s="82"/>
      <c r="Y996" s="82"/>
      <c r="Z996" s="82"/>
    </row>
    <row r="997" spans="1:26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82"/>
      <c r="S997" s="82"/>
      <c r="T997" s="82"/>
      <c r="U997" s="82"/>
      <c r="V997" s="82"/>
      <c r="W997" s="82"/>
      <c r="X997" s="82"/>
      <c r="Y997" s="82"/>
      <c r="Z997" s="82"/>
    </row>
    <row r="998" spans="1:26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82"/>
      <c r="S998" s="82"/>
      <c r="T998" s="82"/>
      <c r="U998" s="82"/>
      <c r="V998" s="82"/>
      <c r="W998" s="82"/>
      <c r="X998" s="82"/>
      <c r="Y998" s="82"/>
      <c r="Z998" s="82"/>
    </row>
    <row r="999" spans="1:26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82"/>
      <c r="S999" s="82"/>
      <c r="T999" s="82"/>
      <c r="U999" s="82"/>
      <c r="V999" s="82"/>
      <c r="W999" s="82"/>
      <c r="X999" s="82"/>
      <c r="Y999" s="82"/>
      <c r="Z999" s="82"/>
    </row>
    <row r="1000" spans="1:26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82"/>
      <c r="S1000" s="82"/>
      <c r="T1000" s="82"/>
      <c r="U1000" s="82"/>
      <c r="V1000" s="82"/>
      <c r="W1000" s="82"/>
      <c r="X1000" s="82"/>
      <c r="Y1000" s="82"/>
      <c r="Z1000" s="82"/>
    </row>
  </sheetData>
  <mergeCells count="7">
    <mergeCell ref="A18:C18"/>
    <mergeCell ref="A19:C19"/>
    <mergeCell ref="A1:P1"/>
    <mergeCell ref="A3:C3"/>
    <mergeCell ref="A4:C4"/>
    <mergeCell ref="A5:C5"/>
    <mergeCell ref="A17:C1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2578125" defaultRowHeight="15" customHeight="1"/>
  <cols>
    <col min="1" max="1" width="18.140625" customWidth="1"/>
    <col min="2" max="2" width="6.7109375" customWidth="1"/>
    <col min="3" max="3" width="8.42578125" customWidth="1"/>
    <col min="4" max="19" width="8.5703125" customWidth="1"/>
  </cols>
  <sheetData>
    <row r="1" spans="1:26">
      <c r="A1" s="219" t="s">
        <v>28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10"/>
      <c r="U1" s="110"/>
      <c r="V1" s="110"/>
      <c r="W1" s="110"/>
      <c r="X1" s="110"/>
      <c r="Y1" s="110"/>
      <c r="Z1" s="110"/>
    </row>
    <row r="2" spans="1:26">
      <c r="A2" s="220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12"/>
      <c r="R2" s="112"/>
      <c r="S2" s="112"/>
      <c r="T2" s="110"/>
      <c r="U2" s="110"/>
      <c r="V2" s="110"/>
      <c r="W2" s="110"/>
      <c r="X2" s="110"/>
      <c r="Y2" s="110"/>
      <c r="Z2" s="110"/>
    </row>
    <row r="3" spans="1:26">
      <c r="A3" s="113"/>
      <c r="B3" s="113"/>
      <c r="C3" s="113"/>
      <c r="D3" s="111"/>
      <c r="E3" s="110"/>
      <c r="F3" s="110"/>
      <c r="G3" s="111"/>
      <c r="H3" s="110"/>
      <c r="I3" s="110"/>
      <c r="J3" s="110"/>
      <c r="K3" s="112"/>
      <c r="L3" s="112"/>
      <c r="M3" s="112"/>
      <c r="N3" s="112"/>
      <c r="O3" s="112"/>
      <c r="P3" s="112"/>
      <c r="Q3" s="112"/>
      <c r="R3" s="112"/>
      <c r="S3" s="112"/>
      <c r="T3" s="110"/>
      <c r="U3" s="110"/>
      <c r="V3" s="110"/>
      <c r="W3" s="110"/>
      <c r="X3" s="110"/>
      <c r="Y3" s="110"/>
      <c r="Z3" s="110"/>
    </row>
    <row r="4" spans="1:26">
      <c r="A4" s="212" t="s">
        <v>1</v>
      </c>
      <c r="B4" s="200"/>
      <c r="C4" s="201"/>
      <c r="D4" s="114"/>
      <c r="E4" s="115"/>
      <c r="F4" s="115"/>
      <c r="G4" s="115"/>
      <c r="H4" s="115"/>
      <c r="I4" s="115"/>
      <c r="J4" s="115"/>
      <c r="K4" s="116"/>
      <c r="L4" s="116"/>
      <c r="M4" s="116"/>
      <c r="N4" s="116"/>
      <c r="O4" s="116"/>
      <c r="P4" s="116"/>
      <c r="Q4" s="116"/>
      <c r="R4" s="116"/>
      <c r="S4" s="116"/>
      <c r="T4" s="110"/>
      <c r="U4" s="110"/>
      <c r="V4" s="110"/>
      <c r="W4" s="110"/>
      <c r="X4" s="110"/>
      <c r="Y4" s="110"/>
      <c r="Z4" s="110"/>
    </row>
    <row r="5" spans="1:26">
      <c r="A5" s="221" t="s">
        <v>29</v>
      </c>
      <c r="B5" s="200"/>
      <c r="C5" s="201"/>
      <c r="D5" s="117"/>
      <c r="E5" s="117"/>
      <c r="F5" s="117"/>
      <c r="G5" s="117"/>
      <c r="H5" s="117"/>
      <c r="I5" s="117"/>
      <c r="J5" s="117"/>
      <c r="K5" s="118"/>
      <c r="L5" s="118"/>
      <c r="M5" s="118"/>
      <c r="N5" s="118"/>
      <c r="O5" s="118"/>
      <c r="P5" s="118"/>
      <c r="Q5" s="118"/>
      <c r="R5" s="118"/>
      <c r="S5" s="118"/>
      <c r="T5" s="110"/>
      <c r="U5" s="110"/>
      <c r="V5" s="110"/>
      <c r="W5" s="110"/>
      <c r="X5" s="110"/>
      <c r="Y5" s="110"/>
      <c r="Z5" s="110"/>
    </row>
    <row r="6" spans="1:26">
      <c r="A6" s="113"/>
      <c r="B6" s="113"/>
      <c r="C6" s="113"/>
      <c r="D6" s="22" t="s">
        <v>18</v>
      </c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0"/>
      <c r="U6" s="110"/>
      <c r="V6" s="110"/>
      <c r="W6" s="110"/>
      <c r="X6" s="110"/>
      <c r="Y6" s="110"/>
      <c r="Z6" s="110"/>
    </row>
    <row r="7" spans="1:26" ht="45">
      <c r="A7" s="120" t="s">
        <v>3</v>
      </c>
      <c r="B7" s="121" t="s">
        <v>4</v>
      </c>
      <c r="C7" s="122" t="s">
        <v>5</v>
      </c>
      <c r="D7" s="123">
        <v>0</v>
      </c>
      <c r="E7" s="123">
        <v>1</v>
      </c>
      <c r="F7" s="123">
        <v>2</v>
      </c>
      <c r="G7" s="123">
        <v>3</v>
      </c>
      <c r="H7" s="123">
        <v>4</v>
      </c>
      <c r="I7" s="123">
        <v>5</v>
      </c>
      <c r="J7" s="123">
        <v>6</v>
      </c>
      <c r="K7" s="123">
        <v>7</v>
      </c>
      <c r="L7" s="123">
        <v>8</v>
      </c>
      <c r="M7" s="123">
        <v>9</v>
      </c>
      <c r="N7" s="123">
        <v>10</v>
      </c>
      <c r="O7" s="123">
        <v>11</v>
      </c>
      <c r="P7" s="123">
        <v>12</v>
      </c>
      <c r="Q7" s="123">
        <v>13</v>
      </c>
      <c r="R7" s="123">
        <v>14</v>
      </c>
      <c r="S7" s="123">
        <v>15</v>
      </c>
      <c r="T7" s="110"/>
      <c r="U7" s="110"/>
      <c r="V7" s="110"/>
      <c r="W7" s="110"/>
      <c r="X7" s="110"/>
      <c r="Y7" s="110"/>
      <c r="Z7" s="110"/>
    </row>
    <row r="8" spans="1:26" ht="20.25" customHeight="1">
      <c r="A8" s="216" t="s">
        <v>6</v>
      </c>
      <c r="B8" s="124">
        <v>7.5</v>
      </c>
      <c r="C8" s="125" t="s">
        <v>7</v>
      </c>
      <c r="D8" s="126">
        <f>25625*1.075</f>
        <v>27546.875</v>
      </c>
      <c r="E8" s="126">
        <f>25778.75*1.075</f>
        <v>27712.15625</v>
      </c>
      <c r="F8" s="126">
        <f>25932.5*1.075</f>
        <v>27877.4375</v>
      </c>
      <c r="G8" s="126">
        <f>26086.25*1.075</f>
        <v>28042.71875</v>
      </c>
      <c r="H8" s="126">
        <f>26240*1.075</f>
        <v>28208</v>
      </c>
      <c r="I8" s="126">
        <f>26393.75*1.075</f>
        <v>28373.28125</v>
      </c>
      <c r="J8" s="126">
        <f>26547.5*1.075</f>
        <v>28538.5625</v>
      </c>
      <c r="K8" s="126">
        <f>26701.25*1.075</f>
        <v>28703.84375</v>
      </c>
      <c r="L8" s="126">
        <f>26855*1.075</f>
        <v>28869.125</v>
      </c>
      <c r="M8" s="126">
        <f>27008.75*1.075</f>
        <v>29034.40625</v>
      </c>
      <c r="N8" s="126">
        <f>27162.5*1.075</f>
        <v>29199.6875</v>
      </c>
      <c r="O8" s="126">
        <f>27316.25*1.075</f>
        <v>29364.96875</v>
      </c>
      <c r="P8" s="126">
        <f>27470*1.075</f>
        <v>29530.25</v>
      </c>
      <c r="Q8" s="126">
        <f>27572.5*1.075</f>
        <v>29640.4375</v>
      </c>
      <c r="R8" s="126">
        <f>27726.25*1.075</f>
        <v>29805.71875</v>
      </c>
      <c r="S8" s="126">
        <f>27828.75*1.075</f>
        <v>29915.90625</v>
      </c>
      <c r="T8" s="110"/>
      <c r="U8" s="110"/>
      <c r="V8" s="110"/>
      <c r="W8" s="110"/>
      <c r="X8" s="110"/>
      <c r="Y8" s="110"/>
      <c r="Z8" s="110"/>
    </row>
    <row r="9" spans="1:26" ht="21.75" customHeight="1">
      <c r="A9" s="203"/>
      <c r="B9" s="127"/>
      <c r="C9" s="127"/>
      <c r="D9" s="128">
        <f t="shared" ref="D9:S9" si="0">D8/200</f>
        <v>137.734375</v>
      </c>
      <c r="E9" s="129">
        <f t="shared" si="0"/>
        <v>138.56078124999999</v>
      </c>
      <c r="F9" s="129">
        <f t="shared" si="0"/>
        <v>139.38718750000001</v>
      </c>
      <c r="G9" s="129">
        <f t="shared" si="0"/>
        <v>140.21359375</v>
      </c>
      <c r="H9" s="129">
        <f t="shared" si="0"/>
        <v>141.04</v>
      </c>
      <c r="I9" s="129">
        <f t="shared" si="0"/>
        <v>141.86640625000001</v>
      </c>
      <c r="J9" s="129">
        <f t="shared" si="0"/>
        <v>142.6928125</v>
      </c>
      <c r="K9" s="129">
        <f t="shared" si="0"/>
        <v>143.51921874999999</v>
      </c>
      <c r="L9" s="129">
        <f t="shared" si="0"/>
        <v>144.34562500000001</v>
      </c>
      <c r="M9" s="129">
        <f t="shared" si="0"/>
        <v>145.17203125</v>
      </c>
      <c r="N9" s="129">
        <f t="shared" si="0"/>
        <v>145.99843749999999</v>
      </c>
      <c r="O9" s="129">
        <f t="shared" si="0"/>
        <v>146.82484375000001</v>
      </c>
      <c r="P9" s="129">
        <f t="shared" si="0"/>
        <v>147.65125</v>
      </c>
      <c r="Q9" s="129">
        <f t="shared" si="0"/>
        <v>148.20218750000001</v>
      </c>
      <c r="R9" s="129">
        <f t="shared" si="0"/>
        <v>149.02859375</v>
      </c>
      <c r="S9" s="129">
        <f t="shared" si="0"/>
        <v>149.57953125</v>
      </c>
      <c r="T9" s="110"/>
      <c r="U9" s="110"/>
      <c r="V9" s="110"/>
      <c r="W9" s="110"/>
      <c r="X9" s="110"/>
      <c r="Y9" s="110"/>
      <c r="Z9" s="110"/>
    </row>
    <row r="10" spans="1:26">
      <c r="A10" s="204"/>
      <c r="B10" s="127"/>
      <c r="C10" s="127"/>
      <c r="D10" s="130">
        <f t="shared" ref="D10:S10" si="1">D9/7.5</f>
        <v>18.364583333333332</v>
      </c>
      <c r="E10" s="130">
        <f t="shared" si="1"/>
        <v>18.474770833333331</v>
      </c>
      <c r="F10" s="130">
        <f t="shared" si="1"/>
        <v>18.584958333333336</v>
      </c>
      <c r="G10" s="130">
        <f t="shared" si="1"/>
        <v>18.695145833333335</v>
      </c>
      <c r="H10" s="130">
        <f t="shared" si="1"/>
        <v>18.805333333333333</v>
      </c>
      <c r="I10" s="130">
        <f t="shared" si="1"/>
        <v>18.915520833333336</v>
      </c>
      <c r="J10" s="130">
        <f t="shared" si="1"/>
        <v>19.025708333333334</v>
      </c>
      <c r="K10" s="130">
        <f t="shared" si="1"/>
        <v>19.135895833333333</v>
      </c>
      <c r="L10" s="130">
        <f t="shared" si="1"/>
        <v>19.246083333333335</v>
      </c>
      <c r="M10" s="130">
        <f t="shared" si="1"/>
        <v>19.356270833333333</v>
      </c>
      <c r="N10" s="130">
        <f t="shared" si="1"/>
        <v>19.466458333333332</v>
      </c>
      <c r="O10" s="130">
        <f t="shared" si="1"/>
        <v>19.576645833333334</v>
      </c>
      <c r="P10" s="130">
        <f t="shared" si="1"/>
        <v>19.686833333333333</v>
      </c>
      <c r="Q10" s="130">
        <f t="shared" si="1"/>
        <v>19.760291666666667</v>
      </c>
      <c r="R10" s="130">
        <f t="shared" si="1"/>
        <v>19.870479166666666</v>
      </c>
      <c r="S10" s="130">
        <f t="shared" si="1"/>
        <v>19.943937500000001</v>
      </c>
      <c r="T10" s="110"/>
      <c r="U10" s="110"/>
      <c r="V10" s="110"/>
      <c r="W10" s="110"/>
      <c r="X10" s="110"/>
      <c r="Y10" s="110"/>
      <c r="Z10" s="110"/>
    </row>
    <row r="11" spans="1:26">
      <c r="A11" s="131"/>
      <c r="B11" s="110"/>
      <c r="C11" s="127"/>
      <c r="D11" s="22" t="s">
        <v>18</v>
      </c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19"/>
      <c r="S11" s="132"/>
      <c r="T11" s="110"/>
      <c r="U11" s="110"/>
      <c r="V11" s="110"/>
      <c r="W11" s="110"/>
      <c r="X11" s="110"/>
      <c r="Y11" s="110"/>
      <c r="Z11" s="110"/>
    </row>
    <row r="12" spans="1:26" ht="18" customHeight="1">
      <c r="A12" s="133" t="s">
        <v>17</v>
      </c>
      <c r="B12" s="127"/>
      <c r="C12" s="127"/>
      <c r="D12" s="123">
        <v>16</v>
      </c>
      <c r="E12" s="123">
        <v>17</v>
      </c>
      <c r="F12" s="123">
        <v>18</v>
      </c>
      <c r="G12" s="123">
        <v>19</v>
      </c>
      <c r="H12" s="123">
        <v>20</v>
      </c>
      <c r="I12" s="123">
        <v>21</v>
      </c>
      <c r="J12" s="123">
        <v>22</v>
      </c>
      <c r="K12" s="123">
        <v>23</v>
      </c>
      <c r="L12" s="123">
        <v>24</v>
      </c>
      <c r="M12" s="123">
        <v>25</v>
      </c>
      <c r="N12" s="123">
        <v>26</v>
      </c>
      <c r="O12" s="123">
        <v>27</v>
      </c>
      <c r="P12" s="123">
        <v>28</v>
      </c>
      <c r="Q12" s="123">
        <v>29</v>
      </c>
      <c r="R12" s="123">
        <v>30</v>
      </c>
      <c r="S12" s="110"/>
      <c r="T12" s="110"/>
      <c r="U12" s="110"/>
      <c r="V12" s="110"/>
      <c r="W12" s="110"/>
      <c r="X12" s="110"/>
      <c r="Y12" s="110"/>
      <c r="Z12" s="110"/>
    </row>
    <row r="13" spans="1:26" ht="18.75" customHeight="1">
      <c r="A13" s="216" t="s">
        <v>6</v>
      </c>
      <c r="B13" s="127"/>
      <c r="C13" s="127"/>
      <c r="D13" s="126">
        <f>27979*1.075</f>
        <v>30077.424999999999</v>
      </c>
      <c r="E13" s="126">
        <f>28129*1.075</f>
        <v>30238.674999999999</v>
      </c>
      <c r="F13" s="126">
        <f>28279*1.075</f>
        <v>30399.924999999999</v>
      </c>
      <c r="G13" s="126">
        <f>28429*1.075</f>
        <v>30561.174999999999</v>
      </c>
      <c r="H13" s="126">
        <f>28579*1.075</f>
        <v>30722.424999999999</v>
      </c>
      <c r="I13" s="126">
        <f>28729*1.075</f>
        <v>30883.674999999999</v>
      </c>
      <c r="J13" s="126">
        <f>28879*1.075</f>
        <v>31044.924999999999</v>
      </c>
      <c r="K13" s="126">
        <f>29029*1.075</f>
        <v>31206.174999999999</v>
      </c>
      <c r="L13" s="126">
        <f>29179*1.075</f>
        <v>31367.424999999999</v>
      </c>
      <c r="M13" s="126">
        <f>29329*1.075</f>
        <v>31528.674999999999</v>
      </c>
      <c r="N13" s="126">
        <f>29479*1.075</f>
        <v>31689.924999999999</v>
      </c>
      <c r="O13" s="126">
        <f>29629*1.075</f>
        <v>31851.174999999999</v>
      </c>
      <c r="P13" s="126">
        <f>29779*1.075</f>
        <v>32012.424999999999</v>
      </c>
      <c r="Q13" s="126">
        <f>29929*1.075</f>
        <v>32173.674999999999</v>
      </c>
      <c r="R13" s="126">
        <f>30079*1.075</f>
        <v>32334.924999999999</v>
      </c>
      <c r="S13" s="110"/>
      <c r="T13" s="110"/>
      <c r="U13" s="110"/>
      <c r="V13" s="110"/>
      <c r="W13" s="110"/>
      <c r="X13" s="110"/>
      <c r="Y13" s="110"/>
      <c r="Z13" s="110"/>
    </row>
    <row r="14" spans="1:26" ht="23.25" customHeight="1">
      <c r="A14" s="203"/>
      <c r="B14" s="127"/>
      <c r="C14" s="127"/>
      <c r="D14" s="129">
        <f t="shared" ref="D14:R14" si="2">D13/200</f>
        <v>150.387125</v>
      </c>
      <c r="E14" s="129">
        <f t="shared" si="2"/>
        <v>151.193375</v>
      </c>
      <c r="F14" s="129">
        <f t="shared" si="2"/>
        <v>151.99962500000001</v>
      </c>
      <c r="G14" s="129">
        <f t="shared" si="2"/>
        <v>152.80587499999999</v>
      </c>
      <c r="H14" s="129">
        <f t="shared" si="2"/>
        <v>153.61212499999999</v>
      </c>
      <c r="I14" s="129">
        <f t="shared" si="2"/>
        <v>154.418375</v>
      </c>
      <c r="J14" s="129">
        <f t="shared" si="2"/>
        <v>155.224625</v>
      </c>
      <c r="K14" s="129">
        <f t="shared" si="2"/>
        <v>156.03087500000001</v>
      </c>
      <c r="L14" s="129">
        <f t="shared" si="2"/>
        <v>156.83712499999999</v>
      </c>
      <c r="M14" s="129">
        <f t="shared" si="2"/>
        <v>157.64337499999999</v>
      </c>
      <c r="N14" s="129">
        <f t="shared" si="2"/>
        <v>158.449625</v>
      </c>
      <c r="O14" s="129">
        <f t="shared" si="2"/>
        <v>159.255875</v>
      </c>
      <c r="P14" s="129">
        <f t="shared" si="2"/>
        <v>160.06212500000001</v>
      </c>
      <c r="Q14" s="129">
        <f t="shared" si="2"/>
        <v>160.86837499999999</v>
      </c>
      <c r="R14" s="129">
        <f t="shared" si="2"/>
        <v>161.67462499999999</v>
      </c>
      <c r="S14" s="110"/>
      <c r="T14" s="110"/>
      <c r="U14" s="110"/>
      <c r="V14" s="110"/>
      <c r="W14" s="110"/>
      <c r="X14" s="110"/>
      <c r="Y14" s="110"/>
      <c r="Z14" s="110"/>
    </row>
    <row r="15" spans="1:26">
      <c r="A15" s="204"/>
      <c r="B15" s="127"/>
      <c r="C15" s="127"/>
      <c r="D15" s="134">
        <f t="shared" ref="D15:R15" si="3">D14/7.5</f>
        <v>20.051616666666668</v>
      </c>
      <c r="E15" s="134">
        <f t="shared" si="3"/>
        <v>20.159116666666666</v>
      </c>
      <c r="F15" s="134">
        <f t="shared" si="3"/>
        <v>20.266616666666668</v>
      </c>
      <c r="G15" s="134">
        <f t="shared" si="3"/>
        <v>20.374116666666666</v>
      </c>
      <c r="H15" s="134">
        <f t="shared" si="3"/>
        <v>20.481616666666664</v>
      </c>
      <c r="I15" s="134">
        <f t="shared" si="3"/>
        <v>20.589116666666666</v>
      </c>
      <c r="J15" s="134">
        <f t="shared" si="3"/>
        <v>20.696616666666667</v>
      </c>
      <c r="K15" s="134">
        <f t="shared" si="3"/>
        <v>20.804116666666669</v>
      </c>
      <c r="L15" s="134">
        <f t="shared" si="3"/>
        <v>20.911616666666664</v>
      </c>
      <c r="M15" s="134">
        <f t="shared" si="3"/>
        <v>21.019116666666665</v>
      </c>
      <c r="N15" s="134">
        <f t="shared" si="3"/>
        <v>21.126616666666667</v>
      </c>
      <c r="O15" s="134">
        <f t="shared" si="3"/>
        <v>21.234116666666669</v>
      </c>
      <c r="P15" s="134">
        <f t="shared" si="3"/>
        <v>21.341616666666667</v>
      </c>
      <c r="Q15" s="134">
        <f t="shared" si="3"/>
        <v>21.449116666666665</v>
      </c>
      <c r="R15" s="134">
        <f t="shared" si="3"/>
        <v>21.556616666666667</v>
      </c>
      <c r="S15" s="110"/>
      <c r="T15" s="110"/>
      <c r="U15" s="110"/>
      <c r="V15" s="110"/>
      <c r="W15" s="110"/>
      <c r="X15" s="110"/>
      <c r="Y15" s="110"/>
      <c r="Z15" s="110"/>
    </row>
    <row r="16" spans="1:26">
      <c r="A16" s="127"/>
      <c r="B16" s="127"/>
      <c r="C16" s="127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spans="1:26">
      <c r="A17" s="212" t="s">
        <v>1</v>
      </c>
      <c r="B17" s="200"/>
      <c r="C17" s="201"/>
      <c r="D17" s="114"/>
      <c r="E17" s="115"/>
      <c r="F17" s="115"/>
      <c r="G17" s="115"/>
      <c r="H17" s="115"/>
      <c r="I17" s="115"/>
      <c r="J17" s="115"/>
      <c r="K17" s="116"/>
      <c r="L17" s="116"/>
      <c r="M17" s="116"/>
      <c r="N17" s="116"/>
      <c r="O17" s="116"/>
      <c r="P17" s="116"/>
      <c r="Q17" s="116"/>
      <c r="R17" s="116"/>
      <c r="S17" s="116"/>
      <c r="T17" s="110"/>
      <c r="U17" s="110"/>
      <c r="V17" s="110"/>
      <c r="W17" s="110"/>
      <c r="X17" s="110"/>
      <c r="Y17" s="110"/>
      <c r="Z17" s="110"/>
    </row>
    <row r="18" spans="1:26">
      <c r="A18" s="213" t="s">
        <v>30</v>
      </c>
      <c r="B18" s="200"/>
      <c r="C18" s="201"/>
      <c r="D18" s="127"/>
      <c r="E18" s="127"/>
      <c r="F18" s="127"/>
      <c r="G18" s="127"/>
      <c r="H18" s="127"/>
      <c r="I18" s="127"/>
      <c r="J18" s="127"/>
      <c r="K18" s="135"/>
      <c r="L18" s="135"/>
      <c r="M18" s="135"/>
      <c r="N18" s="135"/>
      <c r="O18" s="135"/>
      <c r="P18" s="135"/>
      <c r="Q18" s="135"/>
      <c r="R18" s="135"/>
      <c r="S18" s="135"/>
      <c r="T18" s="110"/>
      <c r="U18" s="110"/>
      <c r="V18" s="110"/>
      <c r="W18" s="110"/>
      <c r="X18" s="110"/>
      <c r="Y18" s="110"/>
      <c r="Z18" s="110"/>
    </row>
    <row r="19" spans="1:26">
      <c r="A19" s="127"/>
      <c r="B19" s="127"/>
      <c r="C19" s="113"/>
      <c r="D19" s="22" t="s">
        <v>18</v>
      </c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0"/>
      <c r="U19" s="110"/>
      <c r="V19" s="110"/>
      <c r="W19" s="110"/>
      <c r="X19" s="110"/>
      <c r="Y19" s="110"/>
      <c r="Z19" s="110"/>
    </row>
    <row r="20" spans="1:26" ht="45">
      <c r="A20" s="120" t="s">
        <v>3</v>
      </c>
      <c r="B20" s="121" t="s">
        <v>4</v>
      </c>
      <c r="C20" s="136" t="s">
        <v>5</v>
      </c>
      <c r="D20" s="137">
        <v>0</v>
      </c>
      <c r="E20" s="137">
        <v>1</v>
      </c>
      <c r="F20" s="137">
        <v>2</v>
      </c>
      <c r="G20" s="137">
        <v>3</v>
      </c>
      <c r="H20" s="137">
        <v>4</v>
      </c>
      <c r="I20" s="137">
        <v>5</v>
      </c>
      <c r="J20" s="137">
        <v>6</v>
      </c>
      <c r="K20" s="137">
        <v>7</v>
      </c>
      <c r="L20" s="137">
        <v>8</v>
      </c>
      <c r="M20" s="137">
        <v>9</v>
      </c>
      <c r="N20" s="137">
        <v>10</v>
      </c>
      <c r="O20" s="137">
        <v>11</v>
      </c>
      <c r="P20" s="137">
        <v>12</v>
      </c>
      <c r="Q20" s="137">
        <v>13</v>
      </c>
      <c r="R20" s="137">
        <v>14</v>
      </c>
      <c r="S20" s="137">
        <v>15</v>
      </c>
      <c r="T20" s="110"/>
      <c r="U20" s="110"/>
      <c r="V20" s="110"/>
      <c r="W20" s="110"/>
      <c r="X20" s="110"/>
      <c r="Y20" s="110"/>
      <c r="Z20" s="110"/>
    </row>
    <row r="21" spans="1:26">
      <c r="A21" s="216" t="s">
        <v>31</v>
      </c>
      <c r="B21" s="124">
        <v>7.5</v>
      </c>
      <c r="C21" s="138" t="s">
        <v>32</v>
      </c>
      <c r="D21" s="126">
        <f>(38000+3800+1000)*1.075</f>
        <v>46010</v>
      </c>
      <c r="E21" s="126">
        <f>(38250+3825+1000)*1.075</f>
        <v>46305.625</v>
      </c>
      <c r="F21" s="126">
        <f>(38500+3850+1000)*1.075</f>
        <v>46601.25</v>
      </c>
      <c r="G21" s="126">
        <f>(38750+3875+1000)*1.075</f>
        <v>46896.875</v>
      </c>
      <c r="H21" s="126">
        <f>(39000+3900+1000)*1.075</f>
        <v>47192.5</v>
      </c>
      <c r="I21" s="126">
        <f>(39250+3925+1000)*1.075</f>
        <v>47488.125</v>
      </c>
      <c r="J21" s="126">
        <f>(39500+3950+1000)*1.075</f>
        <v>47783.75</v>
      </c>
      <c r="K21" s="126">
        <f>(39750+3975+1000)*1.075</f>
        <v>48079.375</v>
      </c>
      <c r="L21" s="126">
        <f>(40000+4000+1000)*1.075</f>
        <v>48375</v>
      </c>
      <c r="M21" s="126">
        <f>(40250+4025+1000)*1.075</f>
        <v>48670.625</v>
      </c>
      <c r="N21" s="126">
        <f>(40500+4050+1000)*1.075</f>
        <v>48966.25</v>
      </c>
      <c r="O21" s="126">
        <f>(42900+4290+1000)*1.075</f>
        <v>51804.25</v>
      </c>
      <c r="P21" s="126">
        <f>(43150+4315+1000)*1.075</f>
        <v>52099.875</v>
      </c>
      <c r="Q21" s="126">
        <f>(43400+4340+1000)*1.075</f>
        <v>52395.5</v>
      </c>
      <c r="R21" s="126">
        <f>(43650+4365+1000)*1.075</f>
        <v>52691.125</v>
      </c>
      <c r="S21" s="126">
        <f>(43900+4390+1000)*1.075</f>
        <v>52986.75</v>
      </c>
      <c r="T21" s="110"/>
      <c r="U21" s="110"/>
      <c r="V21" s="110"/>
      <c r="W21" s="110"/>
      <c r="X21" s="110"/>
      <c r="Y21" s="110"/>
      <c r="Z21" s="110"/>
    </row>
    <row r="22" spans="1:26">
      <c r="A22" s="203"/>
      <c r="B22" s="127"/>
      <c r="C22" s="127"/>
      <c r="D22" s="128">
        <f t="shared" ref="D22:S22" si="4">D21/200</f>
        <v>230.05</v>
      </c>
      <c r="E22" s="129">
        <f t="shared" si="4"/>
        <v>231.52812499999999</v>
      </c>
      <c r="F22" s="129">
        <f t="shared" si="4"/>
        <v>233.00624999999999</v>
      </c>
      <c r="G22" s="129">
        <f t="shared" si="4"/>
        <v>234.484375</v>
      </c>
      <c r="H22" s="129">
        <f t="shared" si="4"/>
        <v>235.96250000000001</v>
      </c>
      <c r="I22" s="129">
        <f t="shared" si="4"/>
        <v>237.44062500000001</v>
      </c>
      <c r="J22" s="129">
        <f t="shared" si="4"/>
        <v>238.91874999999999</v>
      </c>
      <c r="K22" s="129">
        <f t="shared" si="4"/>
        <v>240.39687499999999</v>
      </c>
      <c r="L22" s="129">
        <f t="shared" si="4"/>
        <v>241.875</v>
      </c>
      <c r="M22" s="129">
        <f t="shared" si="4"/>
        <v>243.35312500000001</v>
      </c>
      <c r="N22" s="129">
        <f t="shared" si="4"/>
        <v>244.83125000000001</v>
      </c>
      <c r="O22" s="129">
        <f t="shared" si="4"/>
        <v>259.02125000000001</v>
      </c>
      <c r="P22" s="129">
        <f t="shared" si="4"/>
        <v>260.49937499999999</v>
      </c>
      <c r="Q22" s="129">
        <f t="shared" si="4"/>
        <v>261.97750000000002</v>
      </c>
      <c r="R22" s="129">
        <f t="shared" si="4"/>
        <v>263.455625</v>
      </c>
      <c r="S22" s="129">
        <f t="shared" si="4"/>
        <v>264.93374999999997</v>
      </c>
      <c r="T22" s="110"/>
      <c r="U22" s="110"/>
      <c r="V22" s="110"/>
      <c r="W22" s="110"/>
      <c r="X22" s="110"/>
      <c r="Y22" s="110"/>
      <c r="Z22" s="110"/>
    </row>
    <row r="23" spans="1:26">
      <c r="A23" s="204"/>
      <c r="B23" s="127"/>
      <c r="C23" s="127"/>
      <c r="D23" s="130">
        <f t="shared" ref="D23:S23" si="5">D22/7.5</f>
        <v>30.673333333333336</v>
      </c>
      <c r="E23" s="130">
        <f t="shared" si="5"/>
        <v>30.870416666666664</v>
      </c>
      <c r="F23" s="130">
        <f t="shared" si="5"/>
        <v>31.067499999999999</v>
      </c>
      <c r="G23" s="130">
        <f t="shared" si="5"/>
        <v>31.264583333333334</v>
      </c>
      <c r="H23" s="130">
        <f t="shared" si="5"/>
        <v>31.461666666666666</v>
      </c>
      <c r="I23" s="130">
        <f t="shared" si="5"/>
        <v>31.658750000000001</v>
      </c>
      <c r="J23" s="130">
        <f t="shared" si="5"/>
        <v>31.855833333333333</v>
      </c>
      <c r="K23" s="130">
        <f t="shared" si="5"/>
        <v>32.052916666666668</v>
      </c>
      <c r="L23" s="130">
        <f t="shared" si="5"/>
        <v>32.25</v>
      </c>
      <c r="M23" s="130">
        <f t="shared" si="5"/>
        <v>32.447083333333332</v>
      </c>
      <c r="N23" s="130">
        <f t="shared" si="5"/>
        <v>32.644166666666671</v>
      </c>
      <c r="O23" s="130">
        <f t="shared" si="5"/>
        <v>34.536166666666666</v>
      </c>
      <c r="P23" s="130">
        <f t="shared" si="5"/>
        <v>34.733249999999998</v>
      </c>
      <c r="Q23" s="130">
        <f t="shared" si="5"/>
        <v>34.930333333333337</v>
      </c>
      <c r="R23" s="130">
        <f t="shared" si="5"/>
        <v>35.127416666666669</v>
      </c>
      <c r="S23" s="130">
        <f t="shared" si="5"/>
        <v>35.324499999999993</v>
      </c>
      <c r="T23" s="110"/>
      <c r="U23" s="110"/>
      <c r="V23" s="110"/>
      <c r="W23" s="110"/>
      <c r="X23" s="110"/>
      <c r="Y23" s="110"/>
      <c r="Z23" s="110"/>
    </row>
    <row r="24" spans="1:26">
      <c r="A24" s="110"/>
      <c r="B24" s="110"/>
      <c r="C24" s="127"/>
      <c r="D24" s="217" t="s">
        <v>18</v>
      </c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1"/>
      <c r="T24" s="110"/>
      <c r="U24" s="110"/>
      <c r="V24" s="110"/>
      <c r="W24" s="110"/>
      <c r="X24" s="110"/>
      <c r="Y24" s="110"/>
      <c r="Z24" s="110"/>
    </row>
    <row r="25" spans="1:26">
      <c r="A25" s="139" t="s">
        <v>17</v>
      </c>
      <c r="B25" s="127"/>
      <c r="C25" s="127"/>
      <c r="D25" s="137">
        <v>16</v>
      </c>
      <c r="E25" s="137">
        <v>17</v>
      </c>
      <c r="F25" s="137">
        <v>18</v>
      </c>
      <c r="G25" s="137" t="s">
        <v>33</v>
      </c>
      <c r="H25" s="137">
        <v>21</v>
      </c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0"/>
      <c r="T25" s="110"/>
      <c r="U25" s="110"/>
      <c r="V25" s="110"/>
      <c r="W25" s="110"/>
      <c r="X25" s="110"/>
      <c r="Y25" s="110"/>
      <c r="Z25" s="110"/>
    </row>
    <row r="26" spans="1:26">
      <c r="A26" s="216" t="s">
        <v>31</v>
      </c>
      <c r="B26" s="127"/>
      <c r="C26" s="127"/>
      <c r="D26" s="126">
        <f>(44150+4415+1000)*1.075</f>
        <v>53282.375</v>
      </c>
      <c r="E26" s="126">
        <f>(44400+4440+1000)*1.075</f>
        <v>53578</v>
      </c>
      <c r="F26" s="126">
        <f>(44650+4465+1000)*1.075</f>
        <v>53873.625</v>
      </c>
      <c r="G26" s="126">
        <f>(44900+4490+1000)*1.075</f>
        <v>54169.25</v>
      </c>
      <c r="H26" s="126">
        <f>(45950+4595+1000)*1.075</f>
        <v>55410.875</v>
      </c>
      <c r="I26" s="140"/>
      <c r="J26" s="141" t="s">
        <v>34</v>
      </c>
      <c r="K26" s="142"/>
      <c r="L26" s="142"/>
      <c r="M26" s="142"/>
      <c r="N26" s="142"/>
      <c r="O26" s="142"/>
      <c r="P26" s="142"/>
      <c r="Q26" s="142"/>
      <c r="R26" s="142"/>
      <c r="S26" s="110"/>
      <c r="T26" s="110"/>
      <c r="U26" s="110"/>
      <c r="V26" s="110"/>
      <c r="W26" s="110"/>
      <c r="X26" s="110"/>
      <c r="Y26" s="110"/>
      <c r="Z26" s="110"/>
    </row>
    <row r="27" spans="1:26">
      <c r="A27" s="203"/>
      <c r="B27" s="127"/>
      <c r="C27" s="127"/>
      <c r="D27" s="129">
        <f t="shared" ref="D27:H27" si="6">D26/200</f>
        <v>266.41187500000001</v>
      </c>
      <c r="E27" s="129">
        <f t="shared" si="6"/>
        <v>267.89</v>
      </c>
      <c r="F27" s="129">
        <f t="shared" si="6"/>
        <v>269.36812500000002</v>
      </c>
      <c r="G27" s="129">
        <f t="shared" si="6"/>
        <v>270.84625</v>
      </c>
      <c r="H27" s="129">
        <f t="shared" si="6"/>
        <v>277.05437499999999</v>
      </c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10"/>
      <c r="T27" s="110"/>
      <c r="U27" s="110"/>
      <c r="V27" s="110"/>
      <c r="W27" s="110"/>
      <c r="X27" s="110"/>
      <c r="Y27" s="110"/>
      <c r="Z27" s="110"/>
    </row>
    <row r="28" spans="1:26">
      <c r="A28" s="204"/>
      <c r="B28" s="127"/>
      <c r="C28" s="127"/>
      <c r="D28" s="134">
        <f t="shared" ref="D28:H28" si="7">D27/7.5</f>
        <v>35.521583333333332</v>
      </c>
      <c r="E28" s="134">
        <f t="shared" si="7"/>
        <v>35.718666666666664</v>
      </c>
      <c r="F28" s="134">
        <f t="shared" si="7"/>
        <v>35.915750000000003</v>
      </c>
      <c r="G28" s="134">
        <f t="shared" si="7"/>
        <v>36.112833333333334</v>
      </c>
      <c r="H28" s="134">
        <f t="shared" si="7"/>
        <v>36.940583333333329</v>
      </c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>
      <c r="A30" s="218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10"/>
      <c r="U30" s="110"/>
      <c r="V30" s="110"/>
      <c r="W30" s="110"/>
      <c r="X30" s="110"/>
      <c r="Y30" s="110"/>
      <c r="Z30" s="110"/>
    </row>
    <row r="31" spans="1:26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>
      <c r="A35" s="110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>
      <c r="A51" s="110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>
      <c r="A52" s="110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1:26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spans="1:26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spans="1:26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spans="1:26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spans="1:26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</row>
    <row r="68" spans="1:26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spans="1:26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spans="1:26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spans="1:26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1:26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</row>
    <row r="73" spans="1:26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spans="1:26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spans="1:26">
      <c r="A75" s="110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6">
      <c r="A76" s="110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spans="1:26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spans="1:26">
      <c r="A78" s="110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spans="1:26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1:26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spans="1:26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1:26">
      <c r="A84" s="110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spans="1:26">
      <c r="A85" s="110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spans="1:26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1:26">
      <c r="A87" s="110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spans="1:26">
      <c r="A88" s="110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</row>
    <row r="89" spans="1:26">
      <c r="A89" s="110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spans="1:26">
      <c r="A90" s="110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spans="1:26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spans="1:26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spans="1:26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spans="1:26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</row>
    <row r="95" spans="1:26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spans="1:26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>
      <c r="A97" s="110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26">
      <c r="A98" s="110"/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>
      <c r="A100" s="110"/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1:26">
      <c r="A101" s="110"/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>
      <c r="A102" s="110"/>
      <c r="B102" s="110"/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>
      <c r="A103" s="110"/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</row>
    <row r="104" spans="1:26">
      <c r="A104" s="110"/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spans="1:26">
      <c r="A105" s="110"/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1:26">
      <c r="A106" s="110"/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1:26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1:26">
      <c r="A108" s="110"/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</row>
    <row r="109" spans="1:26">
      <c r="A109" s="110"/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spans="1:26">
      <c r="A110" s="110"/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1:26">
      <c r="A111" s="110"/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1:26">
      <c r="A112" s="110"/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1:26">
      <c r="A113" s="110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1:26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1:26">
      <c r="A115" s="110"/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</row>
    <row r="116" spans="1:26">
      <c r="A116" s="110"/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1:26">
      <c r="A117" s="110"/>
      <c r="B117" s="110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1:26">
      <c r="A118" s="110"/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1:26">
      <c r="A119" s="110"/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1:26">
      <c r="A120" s="110"/>
      <c r="B120" s="110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1:26">
      <c r="A121" s="110"/>
      <c r="B121" s="110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</row>
    <row r="122" spans="1:26">
      <c r="A122" s="110"/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1:26">
      <c r="A123" s="110"/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1:26">
      <c r="A124" s="110"/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1:26">
      <c r="A125" s="110"/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</row>
    <row r="126" spans="1:26">
      <c r="A126" s="110"/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1:26">
      <c r="A127" s="110"/>
      <c r="B127" s="110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1:26">
      <c r="A128" s="110"/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1:26">
      <c r="A129" s="110"/>
      <c r="B129" s="110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1:26">
      <c r="A130" s="110"/>
      <c r="B130" s="110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</row>
    <row r="131" spans="1:26">
      <c r="A131" s="110"/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>
      <c r="A132" s="110"/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1:26">
      <c r="A133" s="110"/>
      <c r="B133" s="110"/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1:26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1:26">
      <c r="A135" s="110"/>
      <c r="B135" s="110"/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1:26">
      <c r="A136" s="110"/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1:26">
      <c r="A137" s="110"/>
      <c r="B137" s="110"/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1:26">
      <c r="A138" s="110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>
      <c r="A139" s="110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1:26">
      <c r="A140" s="110"/>
      <c r="B140" s="110"/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1:26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>
      <c r="A143" s="110"/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>
      <c r="A144" s="110"/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>
      <c r="A145" s="110"/>
      <c r="B145" s="110"/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>
      <c r="A146" s="110"/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1:26">
      <c r="A147" s="110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>
      <c r="A148" s="110"/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>
      <c r="A150" s="110"/>
      <c r="B150" s="110"/>
      <c r="C150" s="110"/>
      <c r="D150" s="110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</row>
    <row r="151" spans="1:26">
      <c r="A151" s="110"/>
      <c r="B151" s="110"/>
      <c r="C151" s="110"/>
      <c r="D151" s="110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>
      <c r="A152" s="110"/>
      <c r="B152" s="110"/>
      <c r="C152" s="110"/>
      <c r="D152" s="110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>
      <c r="A153" s="110"/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1:26">
      <c r="A154" s="110"/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>
      <c r="A157" s="110"/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>
      <c r="A158" s="110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>
      <c r="A159" s="110"/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>
      <c r="A160" s="110"/>
      <c r="B160" s="110"/>
      <c r="C160" s="110"/>
      <c r="D160" s="110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>
      <c r="A161" s="110"/>
      <c r="B161" s="110"/>
      <c r="C161" s="110"/>
      <c r="D161" s="110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>
      <c r="A162" s="110"/>
      <c r="B162" s="110"/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>
      <c r="A163" s="110"/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>
      <c r="A164" s="110"/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>
      <c r="A165" s="110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>
      <c r="A166" s="110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>
      <c r="A167" s="110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>
      <c r="A168" s="110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>
      <c r="A169" s="110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>
      <c r="A172" s="110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>
      <c r="A173" s="110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>
      <c r="A174" s="110"/>
      <c r="B174" s="110"/>
      <c r="C174" s="110"/>
      <c r="D174" s="110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1:26">
      <c r="A175" s="110"/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1:26">
      <c r="A176" s="110"/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>
      <c r="A177" s="110"/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>
      <c r="A178" s="110"/>
      <c r="B178" s="110"/>
      <c r="C178" s="110"/>
      <c r="D178" s="110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>
      <c r="A179" s="110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>
      <c r="A180" s="110"/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>
      <c r="A181" s="110"/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>
      <c r="A182" s="110"/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>
      <c r="A183" s="110"/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>
      <c r="A184" s="110"/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>
      <c r="A185" s="110"/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>
      <c r="A186" s="110"/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>
      <c r="A187" s="110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>
      <c r="A188" s="110"/>
      <c r="B188" s="110"/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>
      <c r="A189" s="110"/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>
      <c r="A190" s="110"/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>
      <c r="A191" s="110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>
      <c r="A192" s="110"/>
      <c r="B192" s="110"/>
      <c r="C192" s="110"/>
      <c r="D192" s="110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>
      <c r="A193" s="110"/>
      <c r="B193" s="110"/>
      <c r="C193" s="110"/>
      <c r="D193" s="110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>
      <c r="A194" s="110"/>
      <c r="B194" s="110"/>
      <c r="C194" s="110"/>
      <c r="D194" s="110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>
      <c r="A195" s="110"/>
      <c r="B195" s="110"/>
      <c r="C195" s="110"/>
      <c r="D195" s="110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>
      <c r="A196" s="110"/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>
      <c r="A197" s="110"/>
      <c r="B197" s="110"/>
      <c r="C197" s="110"/>
      <c r="D197" s="110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>
      <c r="A198" s="110"/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>
      <c r="A200" s="110"/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>
      <c r="A201" s="110"/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>
      <c r="A202" s="110"/>
      <c r="B202" s="110"/>
      <c r="C202" s="110"/>
      <c r="D202" s="110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>
      <c r="A203" s="110"/>
      <c r="B203" s="110"/>
      <c r="C203" s="110"/>
      <c r="D203" s="110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>
      <c r="A204" s="110"/>
      <c r="B204" s="110"/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>
      <c r="A205" s="110"/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>
      <c r="A206" s="110"/>
      <c r="B206" s="110"/>
      <c r="C206" s="110"/>
      <c r="D206" s="110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>
      <c r="A207" s="110"/>
      <c r="B207" s="110"/>
      <c r="C207" s="110"/>
      <c r="D207" s="110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>
      <c r="A208" s="110"/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>
      <c r="A209" s="110"/>
      <c r="B209" s="110"/>
      <c r="C209" s="110"/>
      <c r="D209" s="110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>
      <c r="A210" s="110"/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>
      <c r="A211" s="110"/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>
      <c r="A212" s="110"/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>
      <c r="A213" s="110"/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>
      <c r="A214" s="110"/>
      <c r="B214" s="110"/>
      <c r="C214" s="110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>
      <c r="A215" s="110"/>
      <c r="B215" s="110"/>
      <c r="C215" s="110"/>
      <c r="D215" s="110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>
      <c r="A216" s="110"/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>
      <c r="A217" s="110"/>
      <c r="B217" s="110"/>
      <c r="C217" s="110"/>
      <c r="D217" s="110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>
      <c r="A218" s="110"/>
      <c r="B218" s="110"/>
      <c r="C218" s="110"/>
      <c r="D218" s="110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>
      <c r="A219" s="110"/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>
      <c r="A220" s="110"/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>
      <c r="A221" s="110"/>
      <c r="B221" s="110"/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>
      <c r="A222" s="110"/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1:26">
      <c r="A223" s="110"/>
      <c r="B223" s="110"/>
      <c r="C223" s="110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>
      <c r="A224" s="110"/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1:26">
      <c r="A225" s="110"/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1:26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>
      <c r="A228" s="110"/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1:26">
      <c r="A229" s="110"/>
      <c r="B229" s="110"/>
      <c r="C229" s="110"/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1:26">
      <c r="A230" s="110"/>
      <c r="B230" s="110"/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1:26">
      <c r="A231" s="110"/>
      <c r="B231" s="110"/>
      <c r="C231" s="110"/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>
      <c r="A232" s="110"/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>
      <c r="A233" s="110"/>
      <c r="B233" s="110"/>
      <c r="C233" s="110"/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>
      <c r="A234" s="110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1:26">
      <c r="A235" s="110"/>
      <c r="B235" s="110"/>
      <c r="C235" s="110"/>
      <c r="D235" s="110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1:26">
      <c r="A236" s="110"/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1:26">
      <c r="A237" s="110"/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1:26">
      <c r="A238" s="110"/>
      <c r="B238" s="110"/>
      <c r="C238" s="110"/>
      <c r="D238" s="110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1:26">
      <c r="A239" s="110"/>
      <c r="B239" s="110"/>
      <c r="C239" s="110"/>
      <c r="D239" s="110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1:26">
      <c r="A240" s="110"/>
      <c r="B240" s="110"/>
      <c r="C240" s="110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1:26">
      <c r="A241" s="110"/>
      <c r="B241" s="110"/>
      <c r="C241" s="110"/>
      <c r="D241" s="110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1:26">
      <c r="A242" s="110"/>
      <c r="B242" s="11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1:26">
      <c r="A243" s="110"/>
      <c r="B243" s="110"/>
      <c r="C243" s="110"/>
      <c r="D243" s="110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1:26">
      <c r="A244" s="110"/>
      <c r="B244" s="110"/>
      <c r="C244" s="110"/>
      <c r="D244" s="110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1:26">
      <c r="A245" s="110"/>
      <c r="B245" s="110"/>
      <c r="C245" s="110"/>
      <c r="D245" s="110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1:26">
      <c r="A246" s="110"/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1:26">
      <c r="A247" s="110"/>
      <c r="B247" s="110"/>
      <c r="C247" s="110"/>
      <c r="D247" s="110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1:26">
      <c r="A248" s="110"/>
      <c r="B248" s="110"/>
      <c r="C248" s="110"/>
      <c r="D248" s="110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1:26">
      <c r="A249" s="110"/>
      <c r="B249" s="110"/>
      <c r="C249" s="110"/>
      <c r="D249" s="110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1:26">
      <c r="A250" s="110"/>
      <c r="B250" s="110"/>
      <c r="C250" s="110"/>
      <c r="D250" s="110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1:26">
      <c r="A251" s="110"/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1:26">
      <c r="A252" s="110"/>
      <c r="B252" s="110"/>
      <c r="C252" s="110"/>
      <c r="D252" s="110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1:26">
      <c r="A253" s="110"/>
      <c r="B253" s="110"/>
      <c r="C253" s="110"/>
      <c r="D253" s="110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1:26">
      <c r="A254" s="110"/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1:26">
      <c r="A255" s="110"/>
      <c r="B255" s="110"/>
      <c r="C255" s="110"/>
      <c r="D255" s="110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1:26">
      <c r="A256" s="110"/>
      <c r="B256" s="110"/>
      <c r="C256" s="110"/>
      <c r="D256" s="110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1:26">
      <c r="A257" s="110"/>
      <c r="B257" s="110"/>
      <c r="C257" s="110"/>
      <c r="D257" s="110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1:26">
      <c r="A258" s="110"/>
      <c r="B258" s="110"/>
      <c r="C258" s="110"/>
      <c r="D258" s="110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1:26">
      <c r="A259" s="110"/>
      <c r="B259" s="110"/>
      <c r="C259" s="110"/>
      <c r="D259" s="110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1:26">
      <c r="A260" s="110"/>
      <c r="B260" s="110"/>
      <c r="C260" s="110"/>
      <c r="D260" s="110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1:26">
      <c r="A261" s="110"/>
      <c r="B261" s="110"/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>
      <c r="A262" s="110"/>
      <c r="B262" s="110"/>
      <c r="C262" s="110"/>
      <c r="D262" s="110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>
      <c r="A263" s="110"/>
      <c r="B263" s="110"/>
      <c r="C263" s="110"/>
      <c r="D263" s="110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>
      <c r="A265" s="110"/>
      <c r="B265" s="110"/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>
      <c r="A266" s="110"/>
      <c r="B266" s="110"/>
      <c r="C266" s="110"/>
      <c r="D266" s="110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>
      <c r="A267" s="110"/>
      <c r="B267" s="110"/>
      <c r="C267" s="110"/>
      <c r="D267" s="110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</row>
    <row r="268" spans="1:26">
      <c r="A268" s="110"/>
      <c r="B268" s="110"/>
      <c r="C268" s="110"/>
      <c r="D268" s="110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1:26">
      <c r="A269" s="110"/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>
      <c r="A270" s="110"/>
      <c r="B270" s="110"/>
      <c r="C270" s="110"/>
      <c r="D270" s="110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>
      <c r="A271" s="110"/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>
      <c r="A272" s="110"/>
      <c r="B272" s="110"/>
      <c r="C272" s="110"/>
      <c r="D272" s="110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>
      <c r="A273" s="110"/>
      <c r="B273" s="110"/>
      <c r="C273" s="110"/>
      <c r="D273" s="110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>
      <c r="A274" s="110"/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>
      <c r="A275" s="110"/>
      <c r="B275" s="110"/>
      <c r="C275" s="110"/>
      <c r="D275" s="110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>
      <c r="A276" s="110"/>
      <c r="B276" s="110"/>
      <c r="C276" s="110"/>
      <c r="D276" s="110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>
      <c r="A277" s="110"/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1:26">
      <c r="A278" s="110"/>
      <c r="B278" s="110"/>
      <c r="C278" s="110"/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1:26">
      <c r="A279" s="110"/>
      <c r="B279" s="110"/>
      <c r="C279" s="110"/>
      <c r="D279" s="110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1:26">
      <c r="A280" s="110"/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>
      <c r="A281" s="110"/>
      <c r="B281" s="110"/>
      <c r="C281" s="110"/>
      <c r="D281" s="110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>
      <c r="A282" s="110"/>
      <c r="B282" s="110"/>
      <c r="C282" s="110"/>
      <c r="D282" s="110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>
      <c r="A283" s="110"/>
      <c r="B283" s="110"/>
      <c r="C283" s="110"/>
      <c r="D283" s="110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1:26">
      <c r="A284" s="110"/>
      <c r="B284" s="110"/>
      <c r="C284" s="110"/>
      <c r="D284" s="110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1:26">
      <c r="A285" s="110"/>
      <c r="B285" s="110"/>
      <c r="C285" s="110"/>
      <c r="D285" s="110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1:26">
      <c r="A286" s="110"/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1:26">
      <c r="A287" s="110"/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1:26">
      <c r="A288" s="110"/>
      <c r="B288" s="110"/>
      <c r="C288" s="110"/>
      <c r="D288" s="110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1:26">
      <c r="A289" s="110"/>
      <c r="B289" s="110"/>
      <c r="C289" s="110"/>
      <c r="D289" s="110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1:26">
      <c r="A290" s="110"/>
      <c r="B290" s="110"/>
      <c r="C290" s="110"/>
      <c r="D290" s="110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1:26">
      <c r="A291" s="110"/>
      <c r="B291" s="110"/>
      <c r="C291" s="110"/>
      <c r="D291" s="110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1:26">
      <c r="A292" s="110"/>
      <c r="B292" s="110"/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1:26">
      <c r="A293" s="110"/>
      <c r="B293" s="110"/>
      <c r="C293" s="110"/>
      <c r="D293" s="110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1:26">
      <c r="A294" s="110"/>
      <c r="B294" s="110"/>
      <c r="C294" s="110"/>
      <c r="D294" s="110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1:26">
      <c r="A295" s="110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1:26">
      <c r="A296" s="110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1:26">
      <c r="A297" s="110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1:26">
      <c r="A298" s="110"/>
      <c r="B298" s="110"/>
      <c r="C298" s="110"/>
      <c r="D298" s="110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1:26">
      <c r="A299" s="110"/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1:26">
      <c r="A300" s="110"/>
      <c r="B300" s="110"/>
      <c r="C300" s="110"/>
      <c r="D300" s="110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1:26">
      <c r="A301" s="110"/>
      <c r="B301" s="110"/>
      <c r="C301" s="110"/>
      <c r="D301" s="110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1:26">
      <c r="A302" s="110"/>
      <c r="B302" s="110"/>
      <c r="C302" s="110"/>
      <c r="D302" s="110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1:26">
      <c r="A303" s="110"/>
      <c r="B303" s="110"/>
      <c r="C303" s="110"/>
      <c r="D303" s="110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1:26">
      <c r="A304" s="110"/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1:26">
      <c r="A305" s="110"/>
      <c r="B305" s="110"/>
      <c r="C305" s="110"/>
      <c r="D305" s="110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1:26">
      <c r="A306" s="110"/>
      <c r="B306" s="110"/>
      <c r="C306" s="110"/>
      <c r="D306" s="110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1:26">
      <c r="A307" s="110"/>
      <c r="B307" s="110"/>
      <c r="C307" s="110"/>
      <c r="D307" s="110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>
      <c r="A308" s="110"/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1:26">
      <c r="A309" s="110"/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1:26">
      <c r="A310" s="110"/>
      <c r="B310" s="110"/>
      <c r="C310" s="110"/>
      <c r="D310" s="110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1:26">
      <c r="A311" s="110"/>
      <c r="B311" s="110"/>
      <c r="C311" s="110"/>
      <c r="D311" s="110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1:26">
      <c r="A312" s="110"/>
      <c r="B312" s="110"/>
      <c r="C312" s="110"/>
      <c r="D312" s="110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1:26">
      <c r="A313" s="110"/>
      <c r="B313" s="110"/>
      <c r="C313" s="110"/>
      <c r="D313" s="110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1:26">
      <c r="A314" s="110"/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1:26">
      <c r="A315" s="110"/>
      <c r="B315" s="110"/>
      <c r="C315" s="110"/>
      <c r="D315" s="110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1:26">
      <c r="A316" s="110"/>
      <c r="B316" s="110"/>
      <c r="C316" s="110"/>
      <c r="D316" s="110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1:26">
      <c r="A317" s="110"/>
      <c r="B317" s="110"/>
      <c r="C317" s="110"/>
      <c r="D317" s="110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1:26">
      <c r="A318" s="110"/>
      <c r="B318" s="110"/>
      <c r="C318" s="110"/>
      <c r="D318" s="110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1:26">
      <c r="A319" s="110"/>
      <c r="B319" s="110"/>
      <c r="C319" s="110"/>
      <c r="D319" s="110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1:26">
      <c r="A320" s="110"/>
      <c r="B320" s="110"/>
      <c r="C320" s="110"/>
      <c r="D320" s="110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1:26">
      <c r="A321" s="110"/>
      <c r="B321" s="110"/>
      <c r="C321" s="110"/>
      <c r="D321" s="110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1:26">
      <c r="A322" s="110"/>
      <c r="B322" s="110"/>
      <c r="C322" s="110"/>
      <c r="D322" s="110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>
      <c r="A323" s="110"/>
      <c r="B323" s="110"/>
      <c r="C323" s="110"/>
      <c r="D323" s="110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>
      <c r="A324" s="110"/>
      <c r="B324" s="110"/>
      <c r="C324" s="110"/>
      <c r="D324" s="110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1:26">
      <c r="A325" s="110"/>
      <c r="B325" s="110"/>
      <c r="C325" s="110"/>
      <c r="D325" s="110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1:26">
      <c r="A326" s="110"/>
      <c r="B326" s="110"/>
      <c r="C326" s="110"/>
      <c r="D326" s="110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1:26">
      <c r="A327" s="110"/>
      <c r="B327" s="110"/>
      <c r="C327" s="110"/>
      <c r="D327" s="110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1:26">
      <c r="A328" s="110"/>
      <c r="B328" s="110"/>
      <c r="C328" s="110"/>
      <c r="D328" s="110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1:26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>
      <c r="A330" s="110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>
      <c r="A331" s="110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1:26">
      <c r="A332" s="110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1:26">
      <c r="A333" s="110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1:26">
      <c r="A334" s="110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1:26">
      <c r="A335" s="110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>
      <c r="A336" s="110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>
      <c r="A337" s="110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>
      <c r="A338" s="110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>
      <c r="A339" s="110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>
      <c r="A340" s="110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1:26">
      <c r="A341" s="110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1:26">
      <c r="A342" s="110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1:26">
      <c r="A343" s="110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1:26">
      <c r="A344" s="110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1:26">
      <c r="A345" s="110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1:26">
      <c r="A346" s="110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1:26">
      <c r="A347" s="110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1:26">
      <c r="A348" s="110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1:26">
      <c r="A349" s="110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1:26">
      <c r="A350" s="110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1:26">
      <c r="A351" s="110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1:26">
      <c r="A352" s="110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1:26">
      <c r="A353" s="110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1:26">
      <c r="A354" s="110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1:26">
      <c r="A355" s="110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1:26">
      <c r="A356" s="110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1:26">
      <c r="A357" s="110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>
      <c r="A358" s="110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1:26">
      <c r="A359" s="110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1:26">
      <c r="A360" s="110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1:26">
      <c r="A361" s="110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1:26">
      <c r="A362" s="110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1:26">
      <c r="A363" s="110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1:26">
      <c r="A364" s="110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1:26">
      <c r="A365" s="110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1:26">
      <c r="A366" s="110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1:26">
      <c r="A367" s="110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1:26">
      <c r="A368" s="110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1:26">
      <c r="A369" s="110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1:26">
      <c r="A370" s="110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1:26">
      <c r="A371" s="110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1:26">
      <c r="A372" s="110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1:26">
      <c r="A373" s="110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1:26">
      <c r="A374" s="110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1:26">
      <c r="A375" s="110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>
      <c r="A376" s="110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>
      <c r="A377" s="110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1:26">
      <c r="A378" s="110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1:26">
      <c r="A379" s="110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1:26">
      <c r="A380" s="110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1:26">
      <c r="A381" s="110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>
      <c r="A382" s="110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>
      <c r="A383" s="110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1:26">
      <c r="A384" s="110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1:26">
      <c r="A385" s="110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1:26">
      <c r="A386" s="110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1:26">
      <c r="A387" s="110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6">
      <c r="A388" s="110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1:26">
      <c r="A389" s="110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1:26">
      <c r="A390" s="110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1:26">
      <c r="A391" s="110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1:26">
      <c r="A392" s="110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1:26">
      <c r="A393" s="110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1:26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1:26">
      <c r="A395" s="110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1:26">
      <c r="A396" s="110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1:26">
      <c r="A397" s="110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1:26">
      <c r="A398" s="110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1:26">
      <c r="A399" s="110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1:26">
      <c r="A400" s="110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1:26">
      <c r="A401" s="110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1:26">
      <c r="A402" s="110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1:26">
      <c r="A403" s="110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1:26">
      <c r="A404" s="110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1:26">
      <c r="A405" s="110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1:26">
      <c r="A406" s="110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1:26">
      <c r="A407" s="110"/>
      <c r="B407" s="110"/>
      <c r="C407" s="110"/>
      <c r="D407" s="110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1:26">
      <c r="A408" s="110"/>
      <c r="B408" s="110"/>
      <c r="C408" s="110"/>
      <c r="D408" s="110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1:26">
      <c r="A409" s="110"/>
      <c r="B409" s="110"/>
      <c r="C409" s="110"/>
      <c r="D409" s="110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1:26">
      <c r="A410" s="110"/>
      <c r="B410" s="110"/>
      <c r="C410" s="110"/>
      <c r="D410" s="110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1:26">
      <c r="A411" s="110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1:26">
      <c r="A412" s="110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1:26">
      <c r="A413" s="110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1:26">
      <c r="A414" s="110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1:26">
      <c r="A415" s="110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1:26">
      <c r="A416" s="110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1:26">
      <c r="A417" s="110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1:26">
      <c r="A418" s="110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1:26">
      <c r="A419" s="110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1:26">
      <c r="A420" s="110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1:26">
      <c r="A421" s="110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1:26">
      <c r="A422" s="110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1:26">
      <c r="A423" s="110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1:26">
      <c r="A424" s="110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1:26">
      <c r="A425" s="110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1:26">
      <c r="A426" s="110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1:26">
      <c r="A427" s="110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>
      <c r="A428" s="110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1:26">
      <c r="A429" s="110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1:26">
      <c r="A430" s="110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1:26">
      <c r="A431" s="110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1:26">
      <c r="A432" s="110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>
      <c r="A433" s="110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1:26">
      <c r="A434" s="110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1:26">
      <c r="A435" s="110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1:26">
      <c r="A436" s="110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1:26">
      <c r="A437" s="110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1:26">
      <c r="A438" s="110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1:26">
      <c r="A439" s="110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1:26">
      <c r="A440" s="110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1:26">
      <c r="A441" s="110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1:26">
      <c r="A442" s="110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1:26">
      <c r="A443" s="110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1:26">
      <c r="A444" s="110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1:26">
      <c r="A445" s="110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1:26">
      <c r="A446" s="110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1:26">
      <c r="A447" s="110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1:26">
      <c r="A448" s="110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1:26">
      <c r="A449" s="110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1:26">
      <c r="A450" s="110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1:26">
      <c r="A451" s="110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1:26">
      <c r="A452" s="110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1:26">
      <c r="A453" s="110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1:26">
      <c r="A454" s="110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1:26">
      <c r="A455" s="110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1:26">
      <c r="A456" s="110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1:26">
      <c r="A457" s="110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1:26">
      <c r="A458" s="110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1:26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1:26">
      <c r="A460" s="110"/>
      <c r="B460" s="110"/>
      <c r="C460" s="110"/>
      <c r="D460" s="110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1:26">
      <c r="A461" s="110"/>
      <c r="B461" s="110"/>
      <c r="C461" s="110"/>
      <c r="D461" s="110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1:26">
      <c r="A462" s="110"/>
      <c r="B462" s="110"/>
      <c r="C462" s="110"/>
      <c r="D462" s="110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1:26">
      <c r="A463" s="110"/>
      <c r="B463" s="110"/>
      <c r="C463" s="110"/>
      <c r="D463" s="110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1:26">
      <c r="A464" s="110"/>
      <c r="B464" s="110"/>
      <c r="C464" s="110"/>
      <c r="D464" s="110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1:26">
      <c r="A465" s="110"/>
      <c r="B465" s="110"/>
      <c r="C465" s="110"/>
      <c r="D465" s="110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1:26">
      <c r="A466" s="110"/>
      <c r="B466" s="110"/>
      <c r="C466" s="110"/>
      <c r="D466" s="110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1:26">
      <c r="A467" s="110"/>
      <c r="B467" s="110"/>
      <c r="C467" s="110"/>
      <c r="D467" s="110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1:26">
      <c r="A468" s="110"/>
      <c r="B468" s="110"/>
      <c r="C468" s="110"/>
      <c r="D468" s="110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1:26">
      <c r="A469" s="110"/>
      <c r="B469" s="110"/>
      <c r="C469" s="110"/>
      <c r="D469" s="110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1:26">
      <c r="A470" s="110"/>
      <c r="B470" s="110"/>
      <c r="C470" s="110"/>
      <c r="D470" s="110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1:26">
      <c r="A471" s="110"/>
      <c r="B471" s="110"/>
      <c r="C471" s="110"/>
      <c r="D471" s="110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1:26">
      <c r="A472" s="110"/>
      <c r="B472" s="110"/>
      <c r="C472" s="110"/>
      <c r="D472" s="110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1:26">
      <c r="A473" s="110"/>
      <c r="B473" s="110"/>
      <c r="C473" s="110"/>
      <c r="D473" s="110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1:26">
      <c r="A474" s="110"/>
      <c r="B474" s="110"/>
      <c r="C474" s="110"/>
      <c r="D474" s="110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1:26">
      <c r="A475" s="110"/>
      <c r="B475" s="110"/>
      <c r="C475" s="110"/>
      <c r="D475" s="110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1:26">
      <c r="A476" s="110"/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1:26">
      <c r="A477" s="110"/>
      <c r="B477" s="110"/>
      <c r="C477" s="110"/>
      <c r="D477" s="110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1:26">
      <c r="A478" s="110"/>
      <c r="B478" s="110"/>
      <c r="C478" s="110"/>
      <c r="D478" s="110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1:26">
      <c r="A479" s="110"/>
      <c r="B479" s="110"/>
      <c r="C479" s="110"/>
      <c r="D479" s="110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1:26">
      <c r="A480" s="110"/>
      <c r="B480" s="110"/>
      <c r="C480" s="110"/>
      <c r="D480" s="110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1:26">
      <c r="A481" s="110"/>
      <c r="B481" s="110"/>
      <c r="C481" s="110"/>
      <c r="D481" s="110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1:26">
      <c r="A482" s="110"/>
      <c r="B482" s="110"/>
      <c r="C482" s="110"/>
      <c r="D482" s="110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1:26">
      <c r="A483" s="110"/>
      <c r="B483" s="110"/>
      <c r="C483" s="110"/>
      <c r="D483" s="110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1:26">
      <c r="A484" s="110"/>
      <c r="B484" s="110"/>
      <c r="C484" s="110"/>
      <c r="D484" s="110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1:26">
      <c r="A485" s="110"/>
      <c r="B485" s="110"/>
      <c r="C485" s="110"/>
      <c r="D485" s="110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1:26">
      <c r="A486" s="110"/>
      <c r="B486" s="110"/>
      <c r="C486" s="110"/>
      <c r="D486" s="110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1:26">
      <c r="A487" s="110"/>
      <c r="B487" s="110"/>
      <c r="C487" s="110"/>
      <c r="D487" s="110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1:26">
      <c r="A488" s="110"/>
      <c r="B488" s="110"/>
      <c r="C488" s="110"/>
      <c r="D488" s="110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1:26">
      <c r="A489" s="110"/>
      <c r="B489" s="110"/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1:26">
      <c r="A490" s="110"/>
      <c r="B490" s="110"/>
      <c r="C490" s="110"/>
      <c r="D490" s="110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1:26">
      <c r="A491" s="110"/>
      <c r="B491" s="110"/>
      <c r="C491" s="110"/>
      <c r="D491" s="110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1:26">
      <c r="A492" s="110"/>
      <c r="B492" s="110"/>
      <c r="C492" s="110"/>
      <c r="D492" s="110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1:26">
      <c r="A493" s="110"/>
      <c r="B493" s="110"/>
      <c r="C493" s="110"/>
      <c r="D493" s="110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1:26">
      <c r="A494" s="110"/>
      <c r="B494" s="110"/>
      <c r="C494" s="110"/>
      <c r="D494" s="110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1:26">
      <c r="A495" s="110"/>
      <c r="B495" s="110"/>
      <c r="C495" s="110"/>
      <c r="D495" s="110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1:26">
      <c r="A496" s="110"/>
      <c r="B496" s="110"/>
      <c r="C496" s="110"/>
      <c r="D496" s="110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1:26">
      <c r="A497" s="110"/>
      <c r="B497" s="110"/>
      <c r="C497" s="110"/>
      <c r="D497" s="110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1:26">
      <c r="A498" s="110"/>
      <c r="B498" s="110"/>
      <c r="C498" s="110"/>
      <c r="D498" s="110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1:26">
      <c r="A499" s="110"/>
      <c r="B499" s="110"/>
      <c r="C499" s="110"/>
      <c r="D499" s="110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1:26">
      <c r="A500" s="110"/>
      <c r="B500" s="110"/>
      <c r="C500" s="110"/>
      <c r="D500" s="110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1:26">
      <c r="A501" s="110"/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1:26">
      <c r="A502" s="110"/>
      <c r="B502" s="110"/>
      <c r="C502" s="110"/>
      <c r="D502" s="110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1:26">
      <c r="A503" s="110"/>
      <c r="B503" s="110"/>
      <c r="C503" s="110"/>
      <c r="D503" s="110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1:26">
      <c r="A504" s="110"/>
      <c r="B504" s="110"/>
      <c r="C504" s="110"/>
      <c r="D504" s="110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1:26">
      <c r="A505" s="110"/>
      <c r="B505" s="110"/>
      <c r="C505" s="110"/>
      <c r="D505" s="110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1:26">
      <c r="A506" s="110"/>
      <c r="B506" s="110"/>
      <c r="C506" s="110"/>
      <c r="D506" s="110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1:26">
      <c r="A507" s="110"/>
      <c r="B507" s="110"/>
      <c r="C507" s="110"/>
      <c r="D507" s="110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1:26">
      <c r="A508" s="110"/>
      <c r="B508" s="110"/>
      <c r="C508" s="110"/>
      <c r="D508" s="110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1:26">
      <c r="A509" s="110"/>
      <c r="B509" s="110"/>
      <c r="C509" s="110"/>
      <c r="D509" s="110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1:26">
      <c r="A510" s="110"/>
      <c r="B510" s="110"/>
      <c r="C510" s="110"/>
      <c r="D510" s="110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1:26">
      <c r="A511" s="110"/>
      <c r="B511" s="110"/>
      <c r="C511" s="110"/>
      <c r="D511" s="110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1:26">
      <c r="A512" s="110"/>
      <c r="B512" s="110"/>
      <c r="C512" s="110"/>
      <c r="D512" s="110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1:26">
      <c r="A513" s="110"/>
      <c r="B513" s="110"/>
      <c r="C513" s="110"/>
      <c r="D513" s="110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1:26">
      <c r="A514" s="110"/>
      <c r="B514" s="110"/>
      <c r="C514" s="110"/>
      <c r="D514" s="110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1:26">
      <c r="A515" s="110"/>
      <c r="B515" s="110"/>
      <c r="C515" s="110"/>
      <c r="D515" s="110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1:26">
      <c r="A516" s="110"/>
      <c r="B516" s="110"/>
      <c r="C516" s="110"/>
      <c r="D516" s="110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1:26">
      <c r="A517" s="110"/>
      <c r="B517" s="110"/>
      <c r="C517" s="110"/>
      <c r="D517" s="110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1:26">
      <c r="A518" s="110"/>
      <c r="B518" s="110"/>
      <c r="C518" s="110"/>
      <c r="D518" s="110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1:26">
      <c r="A519" s="110"/>
      <c r="B519" s="110"/>
      <c r="C519" s="110"/>
      <c r="D519" s="110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1:26">
      <c r="A520" s="110"/>
      <c r="B520" s="110"/>
      <c r="C520" s="110"/>
      <c r="D520" s="110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1:26">
      <c r="A521" s="110"/>
      <c r="B521" s="110"/>
      <c r="C521" s="110"/>
      <c r="D521" s="110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1:26">
      <c r="A522" s="110"/>
      <c r="B522" s="110"/>
      <c r="C522" s="110"/>
      <c r="D522" s="110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1:26">
      <c r="A523" s="110"/>
      <c r="B523" s="110"/>
      <c r="C523" s="110"/>
      <c r="D523" s="110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1:26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1:26">
      <c r="A525" s="110"/>
      <c r="B525" s="110"/>
      <c r="C525" s="110"/>
      <c r="D525" s="110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1:26">
      <c r="A526" s="110"/>
      <c r="B526" s="110"/>
      <c r="C526" s="110"/>
      <c r="D526" s="110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1:26">
      <c r="A527" s="110"/>
      <c r="B527" s="110"/>
      <c r="C527" s="110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1:26">
      <c r="A528" s="110"/>
      <c r="B528" s="110"/>
      <c r="C528" s="110"/>
      <c r="D528" s="110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1:26">
      <c r="A529" s="110"/>
      <c r="B529" s="110"/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1:26">
      <c r="A530" s="110"/>
      <c r="B530" s="110"/>
      <c r="C530" s="110"/>
      <c r="D530" s="110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1:26">
      <c r="A531" s="110"/>
      <c r="B531" s="110"/>
      <c r="C531" s="110"/>
      <c r="D531" s="110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1:26">
      <c r="A532" s="110"/>
      <c r="B532" s="110"/>
      <c r="C532" s="110"/>
      <c r="D532" s="110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>
      <c r="A533" s="110"/>
      <c r="B533" s="110"/>
      <c r="C533" s="110"/>
      <c r="D533" s="110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>
      <c r="A534" s="110"/>
      <c r="B534" s="110"/>
      <c r="C534" s="110"/>
      <c r="D534" s="110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1:26">
      <c r="A535" s="110"/>
      <c r="B535" s="110"/>
      <c r="C535" s="110"/>
      <c r="D535" s="110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1:26">
      <c r="A536" s="110"/>
      <c r="B536" s="110"/>
      <c r="C536" s="110"/>
      <c r="D536" s="110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1:26">
      <c r="A537" s="110"/>
      <c r="B537" s="110"/>
      <c r="C537" s="110"/>
      <c r="D537" s="110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1:26">
      <c r="A538" s="110"/>
      <c r="B538" s="110"/>
      <c r="C538" s="110"/>
      <c r="D538" s="110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1:26">
      <c r="A539" s="110"/>
      <c r="B539" s="110"/>
      <c r="C539" s="110"/>
      <c r="D539" s="110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1:26">
      <c r="A540" s="110"/>
      <c r="B540" s="110"/>
      <c r="C540" s="110"/>
      <c r="D540" s="110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>
      <c r="A541" s="110"/>
      <c r="B541" s="110"/>
      <c r="C541" s="110"/>
      <c r="D541" s="110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1:26">
      <c r="A542" s="110"/>
      <c r="B542" s="110"/>
      <c r="C542" s="110"/>
      <c r="D542" s="110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1:26">
      <c r="A543" s="110"/>
      <c r="B543" s="110"/>
      <c r="C543" s="110"/>
      <c r="D543" s="110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1:26">
      <c r="A544" s="110"/>
      <c r="B544" s="110"/>
      <c r="C544" s="110"/>
      <c r="D544" s="110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1:26">
      <c r="A545" s="110"/>
      <c r="B545" s="110"/>
      <c r="C545" s="110"/>
      <c r="D545" s="110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1:26">
      <c r="A546" s="110"/>
      <c r="B546" s="110"/>
      <c r="C546" s="110"/>
      <c r="D546" s="110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1:26">
      <c r="A547" s="110"/>
      <c r="B547" s="110"/>
      <c r="C547" s="110"/>
      <c r="D547" s="110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1:26">
      <c r="A548" s="110"/>
      <c r="B548" s="110"/>
      <c r="C548" s="110"/>
      <c r="D548" s="110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1:26">
      <c r="A549" s="110"/>
      <c r="B549" s="110"/>
      <c r="C549" s="110"/>
      <c r="D549" s="110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1:26">
      <c r="A550" s="110"/>
      <c r="B550" s="110"/>
      <c r="C550" s="110"/>
      <c r="D550" s="110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1:26">
      <c r="A551" s="110"/>
      <c r="B551" s="110"/>
      <c r="C551" s="110"/>
      <c r="D551" s="110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1:26">
      <c r="A552" s="110"/>
      <c r="B552" s="110"/>
      <c r="C552" s="110"/>
      <c r="D552" s="110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1:26">
      <c r="A553" s="110"/>
      <c r="B553" s="110"/>
      <c r="C553" s="110"/>
      <c r="D553" s="110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1:26">
      <c r="A554" s="110"/>
      <c r="B554" s="110"/>
      <c r="C554" s="110"/>
      <c r="D554" s="110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1:26">
      <c r="A555" s="110"/>
      <c r="B555" s="110"/>
      <c r="C555" s="110"/>
      <c r="D555" s="110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1:26">
      <c r="A556" s="110"/>
      <c r="B556" s="110"/>
      <c r="C556" s="110"/>
      <c r="D556" s="110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1:26">
      <c r="A557" s="110"/>
      <c r="B557" s="110"/>
      <c r="C557" s="110"/>
      <c r="D557" s="110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1:26">
      <c r="A558" s="110"/>
      <c r="B558" s="110"/>
      <c r="C558" s="110"/>
      <c r="D558" s="110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1:26">
      <c r="A559" s="110"/>
      <c r="B559" s="110"/>
      <c r="C559" s="110"/>
      <c r="D559" s="110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1:26">
      <c r="A560" s="110"/>
      <c r="B560" s="110"/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1:26">
      <c r="A561" s="110"/>
      <c r="B561" s="110"/>
      <c r="C561" s="110"/>
      <c r="D561" s="110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1:26">
      <c r="A562" s="110"/>
      <c r="B562" s="110"/>
      <c r="C562" s="110"/>
      <c r="D562" s="110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1:26">
      <c r="A563" s="110"/>
      <c r="B563" s="110"/>
      <c r="C563" s="110"/>
      <c r="D563" s="110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1:26">
      <c r="A564" s="110"/>
      <c r="B564" s="110"/>
      <c r="C564" s="110"/>
      <c r="D564" s="110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1:26">
      <c r="A565" s="110"/>
      <c r="B565" s="110"/>
      <c r="C565" s="110"/>
      <c r="D565" s="110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1:26">
      <c r="A566" s="110"/>
      <c r="B566" s="110"/>
      <c r="C566" s="110"/>
      <c r="D566" s="110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1:26">
      <c r="A567" s="110"/>
      <c r="B567" s="110"/>
      <c r="C567" s="110"/>
      <c r="D567" s="110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>
      <c r="A568" s="110"/>
      <c r="B568" s="110"/>
      <c r="C568" s="110"/>
      <c r="D568" s="110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>
      <c r="A569" s="110"/>
      <c r="B569" s="110"/>
      <c r="C569" s="110"/>
      <c r="D569" s="110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1:26">
      <c r="A570" s="110"/>
      <c r="B570" s="110"/>
      <c r="C570" s="110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1:26">
      <c r="A571" s="110"/>
      <c r="B571" s="110"/>
      <c r="C571" s="110"/>
      <c r="D571" s="110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1:26">
      <c r="A572" s="110"/>
      <c r="B572" s="110"/>
      <c r="C572" s="110"/>
      <c r="D572" s="110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1:26">
      <c r="A573" s="110"/>
      <c r="B573" s="110"/>
      <c r="C573" s="110"/>
      <c r="D573" s="110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1:26">
      <c r="A574" s="110"/>
      <c r="B574" s="110"/>
      <c r="C574" s="110"/>
      <c r="D574" s="110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1:26">
      <c r="A575" s="110"/>
      <c r="B575" s="110"/>
      <c r="C575" s="110"/>
      <c r="D575" s="110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1:26">
      <c r="A576" s="110"/>
      <c r="B576" s="110"/>
      <c r="C576" s="110"/>
      <c r="D576" s="110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1:26">
      <c r="A577" s="110"/>
      <c r="B577" s="110"/>
      <c r="C577" s="110"/>
      <c r="D577" s="110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1:26">
      <c r="A578" s="110"/>
      <c r="B578" s="110"/>
      <c r="C578" s="110"/>
      <c r="D578" s="110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1:26">
      <c r="A579" s="110"/>
      <c r="B579" s="110"/>
      <c r="C579" s="110"/>
      <c r="D579" s="110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1:26">
      <c r="A580" s="110"/>
      <c r="B580" s="110"/>
      <c r="C580" s="110"/>
      <c r="D580" s="110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1:26">
      <c r="A581" s="110"/>
      <c r="B581" s="110"/>
      <c r="C581" s="110"/>
      <c r="D581" s="110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1:26">
      <c r="A582" s="110"/>
      <c r="B582" s="110"/>
      <c r="C582" s="110"/>
      <c r="D582" s="110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</row>
    <row r="583" spans="1:26">
      <c r="A583" s="110"/>
      <c r="B583" s="110"/>
      <c r="C583" s="110"/>
      <c r="D583" s="110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1:26">
      <c r="A584" s="110"/>
      <c r="B584" s="110"/>
      <c r="C584" s="110"/>
      <c r="D584" s="110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1:26">
      <c r="A585" s="110"/>
      <c r="B585" s="110"/>
      <c r="C585" s="110"/>
      <c r="D585" s="110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1:26">
      <c r="A586" s="110"/>
      <c r="B586" s="110"/>
      <c r="C586" s="110"/>
      <c r="D586" s="110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1:26">
      <c r="A587" s="110"/>
      <c r="B587" s="110"/>
      <c r="C587" s="110"/>
      <c r="D587" s="110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1:26">
      <c r="A588" s="110"/>
      <c r="B588" s="110"/>
      <c r="C588" s="110"/>
      <c r="D588" s="110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1:26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1:26">
      <c r="A590" s="110"/>
      <c r="B590" s="110"/>
      <c r="C590" s="110"/>
      <c r="D590" s="110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1:26">
      <c r="A591" s="110"/>
      <c r="B591" s="110"/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1:26">
      <c r="A592" s="110"/>
      <c r="B592" s="110"/>
      <c r="C592" s="110"/>
      <c r="D592" s="110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1:26">
      <c r="A593" s="110"/>
      <c r="B593" s="110"/>
      <c r="C593" s="110"/>
      <c r="D593" s="110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1:26">
      <c r="A594" s="110"/>
      <c r="B594" s="110"/>
      <c r="C594" s="110"/>
      <c r="D594" s="110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1:26">
      <c r="A595" s="110"/>
      <c r="B595" s="110"/>
      <c r="C595" s="110"/>
      <c r="D595" s="110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1:26">
      <c r="A596" s="110"/>
      <c r="B596" s="110"/>
      <c r="C596" s="110"/>
      <c r="D596" s="110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1:26">
      <c r="A597" s="110"/>
      <c r="B597" s="110"/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1:26">
      <c r="A598" s="110"/>
      <c r="B598" s="110"/>
      <c r="C598" s="110"/>
      <c r="D598" s="110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1:26">
      <c r="A599" s="110"/>
      <c r="B599" s="110"/>
      <c r="C599" s="110"/>
      <c r="D599" s="110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1:26">
      <c r="A600" s="110"/>
      <c r="B600" s="110"/>
      <c r="C600" s="110"/>
      <c r="D600" s="110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1:26">
      <c r="A601" s="110"/>
      <c r="B601" s="110"/>
      <c r="C601" s="110"/>
      <c r="D601" s="110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1:26">
      <c r="A602" s="110"/>
      <c r="B602" s="110"/>
      <c r="C602" s="110"/>
      <c r="D602" s="110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>
      <c r="A603" s="110"/>
      <c r="B603" s="110"/>
      <c r="C603" s="110"/>
      <c r="D603" s="110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>
      <c r="A604" s="110"/>
      <c r="B604" s="110"/>
      <c r="C604" s="110"/>
      <c r="D604" s="110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1:26">
      <c r="A605" s="110"/>
      <c r="B605" s="110"/>
      <c r="C605" s="110"/>
      <c r="D605" s="110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1:26">
      <c r="A606" s="110"/>
      <c r="B606" s="110"/>
      <c r="C606" s="110"/>
      <c r="D606" s="110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1:26">
      <c r="A607" s="110"/>
      <c r="B607" s="110"/>
      <c r="C607" s="110"/>
      <c r="D607" s="110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1:26">
      <c r="A608" s="110"/>
      <c r="B608" s="110"/>
      <c r="C608" s="110"/>
      <c r="D608" s="110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1:26">
      <c r="A609" s="110"/>
      <c r="B609" s="110"/>
      <c r="C609" s="110"/>
      <c r="D609" s="110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1:26">
      <c r="A610" s="110"/>
      <c r="B610" s="110"/>
      <c r="C610" s="110"/>
      <c r="D610" s="110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>
      <c r="A611" s="110"/>
      <c r="B611" s="110"/>
      <c r="C611" s="110"/>
      <c r="D611" s="110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1:26">
      <c r="A612" s="110"/>
      <c r="B612" s="110"/>
      <c r="C612" s="110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1:26">
      <c r="A613" s="110"/>
      <c r="B613" s="110"/>
      <c r="C613" s="110"/>
      <c r="D613" s="110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1:26">
      <c r="A614" s="110"/>
      <c r="B614" s="110"/>
      <c r="C614" s="110"/>
      <c r="D614" s="110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1:26">
      <c r="A615" s="110"/>
      <c r="B615" s="110"/>
      <c r="C615" s="110"/>
      <c r="D615" s="110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>
      <c r="A616" s="110"/>
      <c r="B616" s="110"/>
      <c r="C616" s="110"/>
      <c r="D616" s="110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1:26">
      <c r="A617" s="110"/>
      <c r="B617" s="110"/>
      <c r="C617" s="110"/>
      <c r="D617" s="110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1:26">
      <c r="A618" s="110"/>
      <c r="B618" s="110"/>
      <c r="C618" s="110"/>
      <c r="D618" s="110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1:26">
      <c r="A619" s="110"/>
      <c r="B619" s="110"/>
      <c r="C619" s="110"/>
      <c r="D619" s="110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1:26">
      <c r="A620" s="110"/>
      <c r="B620" s="110"/>
      <c r="C620" s="110"/>
      <c r="D620" s="110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1:26">
      <c r="A621" s="110"/>
      <c r="B621" s="110"/>
      <c r="C621" s="110"/>
      <c r="D621" s="110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1:26">
      <c r="A622" s="110"/>
      <c r="B622" s="110"/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>
      <c r="A623" s="110"/>
      <c r="B623" s="110"/>
      <c r="C623" s="110"/>
      <c r="D623" s="110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1:26">
      <c r="A624" s="110"/>
      <c r="B624" s="110"/>
      <c r="C624" s="110"/>
      <c r="D624" s="110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1:26">
      <c r="A625" s="110"/>
      <c r="B625" s="110"/>
      <c r="C625" s="110"/>
      <c r="D625" s="110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1:26">
      <c r="A626" s="110"/>
      <c r="B626" s="110"/>
      <c r="C626" s="110"/>
      <c r="D626" s="110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1:26">
      <c r="A627" s="110"/>
      <c r="B627" s="110"/>
      <c r="C627" s="110"/>
      <c r="D627" s="110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1:26">
      <c r="A628" s="110"/>
      <c r="B628" s="110"/>
      <c r="C628" s="110"/>
      <c r="D628" s="110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1:26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1:26">
      <c r="A630" s="110"/>
      <c r="B630" s="110"/>
      <c r="C630" s="110"/>
      <c r="D630" s="110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1:26">
      <c r="A631" s="110"/>
      <c r="B631" s="110"/>
      <c r="C631" s="110"/>
      <c r="D631" s="110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1:26">
      <c r="A632" s="110"/>
      <c r="B632" s="110"/>
      <c r="C632" s="110"/>
      <c r="D632" s="110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1:26">
      <c r="A633" s="110"/>
      <c r="B633" s="110"/>
      <c r="C633" s="110"/>
      <c r="D633" s="110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1:26">
      <c r="A634" s="110"/>
      <c r="B634" s="110"/>
      <c r="C634" s="110"/>
      <c r="D634" s="110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1:26">
      <c r="A635" s="110"/>
      <c r="B635" s="110"/>
      <c r="C635" s="110"/>
      <c r="D635" s="110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1:26">
      <c r="A636" s="110"/>
      <c r="B636" s="110"/>
      <c r="C636" s="110"/>
      <c r="D636" s="110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1:26">
      <c r="A637" s="110"/>
      <c r="B637" s="110"/>
      <c r="C637" s="110"/>
      <c r="D637" s="110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1:26">
      <c r="A638" s="110"/>
      <c r="B638" s="110"/>
      <c r="C638" s="110"/>
      <c r="D638" s="110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1:26">
      <c r="A639" s="110"/>
      <c r="B639" s="110"/>
      <c r="C639" s="110"/>
      <c r="D639" s="110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1:26">
      <c r="A640" s="110"/>
      <c r="B640" s="110"/>
      <c r="C640" s="110"/>
      <c r="D640" s="110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1:26">
      <c r="A641" s="110"/>
      <c r="B641" s="110"/>
      <c r="C641" s="110"/>
      <c r="D641" s="110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1:26">
      <c r="A642" s="110"/>
      <c r="B642" s="110"/>
      <c r="C642" s="110"/>
      <c r="D642" s="110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1:26">
      <c r="A643" s="110"/>
      <c r="B643" s="110"/>
      <c r="C643" s="110"/>
      <c r="D643" s="110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1:26">
      <c r="A644" s="110"/>
      <c r="B644" s="110"/>
      <c r="C644" s="110"/>
      <c r="D644" s="110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1:26">
      <c r="A645" s="110"/>
      <c r="B645" s="110"/>
      <c r="C645" s="110"/>
      <c r="D645" s="110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1:26">
      <c r="A646" s="110"/>
      <c r="B646" s="110"/>
      <c r="C646" s="110"/>
      <c r="D646" s="110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1:26">
      <c r="A647" s="110"/>
      <c r="B647" s="110"/>
      <c r="C647" s="110"/>
      <c r="D647" s="110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1:26">
      <c r="A648" s="110"/>
      <c r="B648" s="110"/>
      <c r="C648" s="110"/>
      <c r="D648" s="110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1:26">
      <c r="A649" s="110"/>
      <c r="B649" s="110"/>
      <c r="C649" s="110"/>
      <c r="D649" s="110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1:26">
      <c r="A650" s="110"/>
      <c r="B650" s="110"/>
      <c r="C650" s="110"/>
      <c r="D650" s="110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1:26">
      <c r="A651" s="110"/>
      <c r="B651" s="110"/>
      <c r="C651" s="110"/>
      <c r="D651" s="110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1:26">
      <c r="A652" s="110"/>
      <c r="B652" s="110"/>
      <c r="C652" s="110"/>
      <c r="D652" s="110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1:26">
      <c r="A653" s="110"/>
      <c r="B653" s="110"/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1:26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1:26">
      <c r="A655" s="110"/>
      <c r="B655" s="110"/>
      <c r="C655" s="110"/>
      <c r="D655" s="110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1:26">
      <c r="A656" s="110"/>
      <c r="B656" s="110"/>
      <c r="C656" s="110"/>
      <c r="D656" s="110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1:26">
      <c r="A657" s="110"/>
      <c r="B657" s="110"/>
      <c r="C657" s="110"/>
      <c r="D657" s="110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1:26">
      <c r="A658" s="110"/>
      <c r="B658" s="110"/>
      <c r="C658" s="110"/>
      <c r="D658" s="110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1:26">
      <c r="A659" s="110"/>
      <c r="B659" s="110"/>
      <c r="C659" s="110"/>
      <c r="D659" s="110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1:26">
      <c r="A660" s="110"/>
      <c r="B660" s="110"/>
      <c r="C660" s="110"/>
      <c r="D660" s="110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1:26">
      <c r="A661" s="110"/>
      <c r="B661" s="110"/>
      <c r="C661" s="110"/>
      <c r="D661" s="110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1:26">
      <c r="A662" s="110"/>
      <c r="B662" s="110"/>
      <c r="C662" s="110"/>
      <c r="D662" s="110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1:26">
      <c r="A663" s="110"/>
      <c r="B663" s="110"/>
      <c r="C663" s="110"/>
      <c r="D663" s="110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1:26">
      <c r="A664" s="110"/>
      <c r="B664" s="110"/>
      <c r="C664" s="110"/>
      <c r="D664" s="110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1:26">
      <c r="A665" s="110"/>
      <c r="B665" s="110"/>
      <c r="C665" s="110"/>
      <c r="D665" s="110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1:26">
      <c r="A666" s="110"/>
      <c r="B666" s="110"/>
      <c r="C666" s="110"/>
      <c r="D666" s="110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1:26">
      <c r="A667" s="110"/>
      <c r="B667" s="110"/>
      <c r="C667" s="110"/>
      <c r="D667" s="110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1:26">
      <c r="A668" s="110"/>
      <c r="B668" s="110"/>
      <c r="C668" s="110"/>
      <c r="D668" s="110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>
      <c r="A669" s="110"/>
      <c r="B669" s="110"/>
      <c r="C669" s="110"/>
      <c r="D669" s="110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>
      <c r="A670" s="110"/>
      <c r="B670" s="110"/>
      <c r="C670" s="110"/>
      <c r="D670" s="110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1:26">
      <c r="A671" s="110"/>
      <c r="B671" s="110"/>
      <c r="C671" s="110"/>
      <c r="D671" s="110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1:26">
      <c r="A672" s="110"/>
      <c r="B672" s="110"/>
      <c r="C672" s="110"/>
      <c r="D672" s="110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>
      <c r="A673" s="110"/>
      <c r="B673" s="110"/>
      <c r="C673" s="110"/>
      <c r="D673" s="110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>
      <c r="A674" s="110"/>
      <c r="B674" s="110"/>
      <c r="C674" s="110"/>
      <c r="D674" s="110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1:26">
      <c r="A675" s="110"/>
      <c r="B675" s="110"/>
      <c r="C675" s="110"/>
      <c r="D675" s="110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1:26">
      <c r="A676" s="110"/>
      <c r="B676" s="110"/>
      <c r="C676" s="110"/>
      <c r="D676" s="110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1:26">
      <c r="A677" s="110"/>
      <c r="B677" s="110"/>
      <c r="C677" s="110"/>
      <c r="D677" s="110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1:26">
      <c r="A678" s="110"/>
      <c r="B678" s="110"/>
      <c r="C678" s="110"/>
      <c r="D678" s="110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1:26">
      <c r="A679" s="110"/>
      <c r="B679" s="110"/>
      <c r="C679" s="110"/>
      <c r="D679" s="110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1:26">
      <c r="A680" s="110"/>
      <c r="B680" s="110"/>
      <c r="C680" s="110"/>
      <c r="D680" s="110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1:26">
      <c r="A681" s="110"/>
      <c r="B681" s="110"/>
      <c r="C681" s="110"/>
      <c r="D681" s="110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1:26">
      <c r="A682" s="110"/>
      <c r="B682" s="110"/>
      <c r="C682" s="110"/>
      <c r="D682" s="110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1:26">
      <c r="A683" s="110"/>
      <c r="B683" s="110"/>
      <c r="C683" s="110"/>
      <c r="D683" s="110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1:26">
      <c r="A684" s="110"/>
      <c r="B684" s="110"/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1:26">
      <c r="A685" s="110"/>
      <c r="B685" s="110"/>
      <c r="C685" s="110"/>
      <c r="D685" s="110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1:26">
      <c r="A686" s="110"/>
      <c r="B686" s="110"/>
      <c r="C686" s="110"/>
      <c r="D686" s="110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1:26">
      <c r="A687" s="110"/>
      <c r="B687" s="110"/>
      <c r="C687" s="110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1:26">
      <c r="A688" s="110"/>
      <c r="B688" s="110"/>
      <c r="C688" s="110"/>
      <c r="D688" s="110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1:26">
      <c r="A689" s="110"/>
      <c r="B689" s="110"/>
      <c r="C689" s="110"/>
      <c r="D689" s="110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1:26">
      <c r="A690" s="110"/>
      <c r="B690" s="110"/>
      <c r="C690" s="110"/>
      <c r="D690" s="110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1:26">
      <c r="A691" s="110"/>
      <c r="B691" s="110"/>
      <c r="C691" s="110"/>
      <c r="D691" s="110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1:26">
      <c r="A692" s="110"/>
      <c r="B692" s="110"/>
      <c r="C692" s="110"/>
      <c r="D692" s="110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1:26">
      <c r="A693" s="110"/>
      <c r="B693" s="110"/>
      <c r="C693" s="110"/>
      <c r="D693" s="110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1:26">
      <c r="A694" s="110"/>
      <c r="B694" s="110"/>
      <c r="C694" s="110"/>
      <c r="D694" s="110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1:26">
      <c r="A695" s="110"/>
      <c r="B695" s="110"/>
      <c r="C695" s="110"/>
      <c r="D695" s="110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1:26">
      <c r="A696" s="110"/>
      <c r="B696" s="110"/>
      <c r="C696" s="110"/>
      <c r="D696" s="110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1:26">
      <c r="A697" s="110"/>
      <c r="B697" s="110"/>
      <c r="C697" s="110"/>
      <c r="D697" s="110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1:26">
      <c r="A698" s="110"/>
      <c r="B698" s="110"/>
      <c r="C698" s="110"/>
      <c r="D698" s="110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1:26">
      <c r="A699" s="110"/>
      <c r="B699" s="110"/>
      <c r="C699" s="110"/>
      <c r="D699" s="110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1:26">
      <c r="A700" s="110"/>
      <c r="B700" s="110"/>
      <c r="C700" s="110"/>
      <c r="D700" s="110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1:26">
      <c r="A701" s="110"/>
      <c r="B701" s="110"/>
      <c r="C701" s="110"/>
      <c r="D701" s="110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1:26">
      <c r="A702" s="110"/>
      <c r="B702" s="110"/>
      <c r="C702" s="110"/>
      <c r="D702" s="110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1:26">
      <c r="A703" s="110"/>
      <c r="B703" s="110"/>
      <c r="C703" s="110"/>
      <c r="D703" s="110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1:26">
      <c r="A704" s="110"/>
      <c r="B704" s="110"/>
      <c r="C704" s="110"/>
      <c r="D704" s="110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1:26">
      <c r="A705" s="110"/>
      <c r="B705" s="110"/>
      <c r="C705" s="110"/>
      <c r="D705" s="110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1:26">
      <c r="A706" s="110"/>
      <c r="B706" s="110"/>
      <c r="C706" s="110"/>
      <c r="D706" s="110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1:26">
      <c r="A707" s="110"/>
      <c r="B707" s="110"/>
      <c r="C707" s="110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1:26">
      <c r="A708" s="110"/>
      <c r="B708" s="110"/>
      <c r="C708" s="110"/>
      <c r="D708" s="110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1:26">
      <c r="A709" s="110"/>
      <c r="B709" s="110"/>
      <c r="C709" s="110"/>
      <c r="D709" s="110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1:26">
      <c r="A710" s="110"/>
      <c r="B710" s="110"/>
      <c r="C710" s="110"/>
      <c r="D710" s="110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1:26">
      <c r="A711" s="110"/>
      <c r="B711" s="110"/>
      <c r="C711" s="110"/>
      <c r="D711" s="110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1:26">
      <c r="A712" s="110"/>
      <c r="B712" s="110"/>
      <c r="C712" s="110"/>
      <c r="D712" s="110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1:26">
      <c r="A713" s="110"/>
      <c r="B713" s="110"/>
      <c r="C713" s="110"/>
      <c r="D713" s="110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1:26">
      <c r="A714" s="110"/>
      <c r="B714" s="110"/>
      <c r="C714" s="110"/>
      <c r="D714" s="110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1:26">
      <c r="A715" s="110"/>
      <c r="B715" s="110"/>
      <c r="C715" s="110"/>
      <c r="D715" s="110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1:26">
      <c r="A716" s="110"/>
      <c r="B716" s="110"/>
      <c r="C716" s="110"/>
      <c r="D716" s="110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1:26">
      <c r="A717" s="110"/>
      <c r="B717" s="110"/>
      <c r="C717" s="110"/>
      <c r="D717" s="110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1:26">
      <c r="A718" s="110"/>
      <c r="B718" s="110"/>
      <c r="C718" s="110"/>
      <c r="D718" s="110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1:26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1:26">
      <c r="A720" s="110"/>
      <c r="B720" s="110"/>
      <c r="C720" s="110"/>
      <c r="D720" s="110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1:26">
      <c r="A721" s="110"/>
      <c r="B721" s="110"/>
      <c r="C721" s="110"/>
      <c r="D721" s="110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1:26">
      <c r="A722" s="110"/>
      <c r="B722" s="110"/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1:26">
      <c r="A723" s="110"/>
      <c r="B723" s="110"/>
      <c r="C723" s="110"/>
      <c r="D723" s="110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1:26">
      <c r="A724" s="110"/>
      <c r="B724" s="110"/>
      <c r="C724" s="110"/>
      <c r="D724" s="110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1:26">
      <c r="A725" s="110"/>
      <c r="B725" s="110"/>
      <c r="C725" s="110"/>
      <c r="D725" s="110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1:26">
      <c r="A726" s="110"/>
      <c r="B726" s="110"/>
      <c r="C726" s="110"/>
      <c r="D726" s="110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1:26">
      <c r="A727" s="110"/>
      <c r="B727" s="110"/>
      <c r="C727" s="110"/>
      <c r="D727" s="110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1:26">
      <c r="A728" s="110"/>
      <c r="B728" s="110"/>
      <c r="C728" s="110"/>
      <c r="D728" s="110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1:26">
      <c r="A729" s="110"/>
      <c r="B729" s="110"/>
      <c r="C729" s="110"/>
      <c r="D729" s="110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1:26">
      <c r="A730" s="110"/>
      <c r="B730" s="110"/>
      <c r="C730" s="110"/>
      <c r="D730" s="110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1:26">
      <c r="A731" s="110"/>
      <c r="B731" s="110"/>
      <c r="C731" s="110"/>
      <c r="D731" s="110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1:26">
      <c r="A732" s="110"/>
      <c r="B732" s="110"/>
      <c r="C732" s="110"/>
      <c r="D732" s="110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1:26">
      <c r="A733" s="110"/>
      <c r="B733" s="110"/>
      <c r="C733" s="110"/>
      <c r="D733" s="110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1:26">
      <c r="A734" s="110"/>
      <c r="B734" s="110"/>
      <c r="C734" s="110"/>
      <c r="D734" s="110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1:26">
      <c r="A735" s="110"/>
      <c r="B735" s="110"/>
      <c r="C735" s="110"/>
      <c r="D735" s="110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1:26">
      <c r="A736" s="110"/>
      <c r="B736" s="110"/>
      <c r="C736" s="110"/>
      <c r="D736" s="110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1:26">
      <c r="A737" s="110"/>
      <c r="B737" s="110"/>
      <c r="C737" s="110"/>
      <c r="D737" s="110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1:26">
      <c r="A738" s="110"/>
      <c r="B738" s="110"/>
      <c r="C738" s="110"/>
      <c r="D738" s="110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1:26">
      <c r="A739" s="110"/>
      <c r="B739" s="110"/>
      <c r="C739" s="110"/>
      <c r="D739" s="110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1:26">
      <c r="A740" s="110"/>
      <c r="B740" s="110"/>
      <c r="C740" s="110"/>
      <c r="D740" s="110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1:26">
      <c r="A741" s="110"/>
      <c r="B741" s="110"/>
      <c r="C741" s="110"/>
      <c r="D741" s="110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1:26">
      <c r="A742" s="110"/>
      <c r="B742" s="110"/>
      <c r="C742" s="110"/>
      <c r="D742" s="110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1:26">
      <c r="A743" s="110"/>
      <c r="B743" s="110"/>
      <c r="C743" s="110"/>
      <c r="D743" s="110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1:26">
      <c r="A744" s="110"/>
      <c r="B744" s="110"/>
      <c r="C744" s="110"/>
      <c r="D744" s="110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1:26">
      <c r="A745" s="110"/>
      <c r="B745" s="110"/>
      <c r="C745" s="110"/>
      <c r="D745" s="110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1:26">
      <c r="A746" s="110"/>
      <c r="B746" s="110"/>
      <c r="C746" s="110"/>
      <c r="D746" s="110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1:26">
      <c r="A747" s="110"/>
      <c r="B747" s="110"/>
      <c r="C747" s="110"/>
      <c r="D747" s="110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1:26">
      <c r="A748" s="110"/>
      <c r="B748" s="110"/>
      <c r="C748" s="110"/>
      <c r="D748" s="110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1:26">
      <c r="A749" s="110"/>
      <c r="B749" s="110"/>
      <c r="C749" s="110"/>
      <c r="D749" s="110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1:26">
      <c r="A750" s="110"/>
      <c r="B750" s="110"/>
      <c r="C750" s="110"/>
      <c r="D750" s="110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1:26">
      <c r="A751" s="110"/>
      <c r="B751" s="110"/>
      <c r="C751" s="110"/>
      <c r="D751" s="110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1:26">
      <c r="A752" s="110"/>
      <c r="B752" s="110"/>
      <c r="C752" s="110"/>
      <c r="D752" s="110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1:26">
      <c r="A753" s="110"/>
      <c r="B753" s="110"/>
      <c r="C753" s="110"/>
      <c r="D753" s="110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1:26">
      <c r="A754" s="110"/>
      <c r="B754" s="110"/>
      <c r="C754" s="110"/>
      <c r="D754" s="110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1:26">
      <c r="A755" s="110"/>
      <c r="B755" s="110"/>
      <c r="C755" s="110"/>
      <c r="D755" s="110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1:26">
      <c r="A756" s="110"/>
      <c r="B756" s="110"/>
      <c r="C756" s="110"/>
      <c r="D756" s="110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1:26">
      <c r="A757" s="110"/>
      <c r="B757" s="110"/>
      <c r="C757" s="110"/>
      <c r="D757" s="110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1:26">
      <c r="A758" s="110"/>
      <c r="B758" s="110"/>
      <c r="C758" s="110"/>
      <c r="D758" s="110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1:26">
      <c r="A759" s="110"/>
      <c r="B759" s="110"/>
      <c r="C759" s="110"/>
      <c r="D759" s="110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1:26">
      <c r="A760" s="110"/>
      <c r="B760" s="110"/>
      <c r="C760" s="110"/>
      <c r="D760" s="110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1:26">
      <c r="A761" s="110"/>
      <c r="B761" s="110"/>
      <c r="C761" s="110"/>
      <c r="D761" s="110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1:26">
      <c r="A762" s="110"/>
      <c r="B762" s="110"/>
      <c r="C762" s="110"/>
      <c r="D762" s="110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1:26">
      <c r="A763" s="110"/>
      <c r="B763" s="110"/>
      <c r="C763" s="110"/>
      <c r="D763" s="110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1:26">
      <c r="A764" s="110"/>
      <c r="B764" s="110"/>
      <c r="C764" s="110"/>
      <c r="D764" s="110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1:26">
      <c r="A765" s="110"/>
      <c r="B765" s="110"/>
      <c r="C765" s="110"/>
      <c r="D765" s="110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1:26">
      <c r="A766" s="110"/>
      <c r="B766" s="110"/>
      <c r="C766" s="110"/>
      <c r="D766" s="110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>
      <c r="A767" s="110"/>
      <c r="B767" s="110"/>
      <c r="C767" s="110"/>
      <c r="D767" s="110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>
      <c r="A768" s="110"/>
      <c r="B768" s="110"/>
      <c r="C768" s="110"/>
      <c r="D768" s="110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>
      <c r="A769" s="110"/>
      <c r="B769" s="110"/>
      <c r="C769" s="110"/>
      <c r="D769" s="110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>
      <c r="A770" s="110"/>
      <c r="B770" s="110"/>
      <c r="C770" s="110"/>
      <c r="D770" s="110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>
      <c r="A771" s="110"/>
      <c r="B771" s="110"/>
      <c r="C771" s="110"/>
      <c r="D771" s="110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>
      <c r="A772" s="110"/>
      <c r="B772" s="110"/>
      <c r="C772" s="110"/>
      <c r="D772" s="110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>
      <c r="A773" s="110"/>
      <c r="B773" s="110"/>
      <c r="C773" s="110"/>
      <c r="D773" s="110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1:26">
      <c r="A774" s="110"/>
      <c r="B774" s="110"/>
      <c r="C774" s="110"/>
      <c r="D774" s="110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1:26">
      <c r="A775" s="110"/>
      <c r="B775" s="110"/>
      <c r="C775" s="110"/>
      <c r="D775" s="110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1:26">
      <c r="A776" s="110"/>
      <c r="B776" s="110"/>
      <c r="C776" s="110"/>
      <c r="D776" s="110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1:26">
      <c r="A777" s="110"/>
      <c r="B777" s="110"/>
      <c r="C777" s="110"/>
      <c r="D777" s="110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1:26">
      <c r="A778" s="110"/>
      <c r="B778" s="110"/>
      <c r="C778" s="110"/>
      <c r="D778" s="110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1:26">
      <c r="A779" s="110"/>
      <c r="B779" s="110"/>
      <c r="C779" s="110"/>
      <c r="D779" s="110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1:26">
      <c r="A780" s="110"/>
      <c r="B780" s="110"/>
      <c r="C780" s="110"/>
      <c r="D780" s="110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1:26">
      <c r="A781" s="110"/>
      <c r="B781" s="110"/>
      <c r="C781" s="110"/>
      <c r="D781" s="110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1:26">
      <c r="A782" s="110"/>
      <c r="B782" s="110"/>
      <c r="C782" s="110"/>
      <c r="D782" s="110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1:26">
      <c r="A783" s="110"/>
      <c r="B783" s="110"/>
      <c r="C783" s="110"/>
      <c r="D783" s="110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1:26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1:26">
      <c r="A785" s="110"/>
      <c r="B785" s="110"/>
      <c r="C785" s="110"/>
      <c r="D785" s="110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1:26">
      <c r="A786" s="110"/>
      <c r="B786" s="110"/>
      <c r="C786" s="110"/>
      <c r="D786" s="110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1:26">
      <c r="A787" s="110"/>
      <c r="B787" s="110"/>
      <c r="C787" s="110"/>
      <c r="D787" s="110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1:26">
      <c r="A788" s="110"/>
      <c r="B788" s="110"/>
      <c r="C788" s="110"/>
      <c r="D788" s="110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1:26">
      <c r="A789" s="110"/>
      <c r="B789" s="110"/>
      <c r="C789" s="110"/>
      <c r="D789" s="110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1:26">
      <c r="A790" s="110"/>
      <c r="B790" s="110"/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1:26">
      <c r="A791" s="110"/>
      <c r="B791" s="110"/>
      <c r="C791" s="110"/>
      <c r="D791" s="110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1:26">
      <c r="A792" s="110"/>
      <c r="B792" s="110"/>
      <c r="C792" s="110"/>
      <c r="D792" s="110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1:26">
      <c r="A793" s="110"/>
      <c r="B793" s="110"/>
      <c r="C793" s="110"/>
      <c r="D793" s="110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1:26">
      <c r="A794" s="110"/>
      <c r="B794" s="110"/>
      <c r="C794" s="110"/>
      <c r="D794" s="110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1:26">
      <c r="A795" s="110"/>
      <c r="B795" s="110"/>
      <c r="C795" s="110"/>
      <c r="D795" s="110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1:26">
      <c r="A796" s="110"/>
      <c r="B796" s="110"/>
      <c r="C796" s="110"/>
      <c r="D796" s="110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1:26">
      <c r="A797" s="110"/>
      <c r="B797" s="110"/>
      <c r="C797" s="110"/>
      <c r="D797" s="110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1:26">
      <c r="A798" s="110"/>
      <c r="B798" s="110"/>
      <c r="C798" s="110"/>
      <c r="D798" s="110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1:26">
      <c r="A799" s="110"/>
      <c r="B799" s="110"/>
      <c r="C799" s="110"/>
      <c r="D799" s="110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1:26">
      <c r="A800" s="110"/>
      <c r="B800" s="110"/>
      <c r="C800" s="110"/>
      <c r="D800" s="110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1:26">
      <c r="A801" s="110"/>
      <c r="B801" s="110"/>
      <c r="C801" s="110"/>
      <c r="D801" s="110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1:26">
      <c r="A802" s="110"/>
      <c r="B802" s="110"/>
      <c r="C802" s="110"/>
      <c r="D802" s="110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1:26">
      <c r="A803" s="110"/>
      <c r="B803" s="110"/>
      <c r="C803" s="110"/>
      <c r="D803" s="110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1:26">
      <c r="A804" s="110"/>
      <c r="B804" s="110"/>
      <c r="C804" s="110"/>
      <c r="D804" s="110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1:26">
      <c r="A805" s="110"/>
      <c r="B805" s="110"/>
      <c r="C805" s="110"/>
      <c r="D805" s="110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1:26">
      <c r="A806" s="110"/>
      <c r="B806" s="110"/>
      <c r="C806" s="110"/>
      <c r="D806" s="110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1:26">
      <c r="A807" s="110"/>
      <c r="B807" s="110"/>
      <c r="C807" s="110"/>
      <c r="D807" s="110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1:26">
      <c r="A808" s="110"/>
      <c r="B808" s="110"/>
      <c r="C808" s="110"/>
      <c r="D808" s="110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1:26">
      <c r="A809" s="110"/>
      <c r="B809" s="110"/>
      <c r="C809" s="110"/>
      <c r="D809" s="110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1:26">
      <c r="A810" s="110"/>
      <c r="B810" s="110"/>
      <c r="C810" s="110"/>
      <c r="D810" s="110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1:26">
      <c r="A811" s="110"/>
      <c r="B811" s="110"/>
      <c r="C811" s="110"/>
      <c r="D811" s="110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1:26">
      <c r="A812" s="110"/>
      <c r="B812" s="110"/>
      <c r="C812" s="110"/>
      <c r="D812" s="110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1:26">
      <c r="A813" s="110"/>
      <c r="B813" s="110"/>
      <c r="C813" s="110"/>
      <c r="D813" s="110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1:26">
      <c r="A814" s="110"/>
      <c r="B814" s="110"/>
      <c r="C814" s="110"/>
      <c r="D814" s="110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1:26">
      <c r="A815" s="110"/>
      <c r="B815" s="110"/>
      <c r="C815" s="110"/>
      <c r="D815" s="110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1:26">
      <c r="A816" s="110"/>
      <c r="B816" s="110"/>
      <c r="C816" s="110"/>
      <c r="D816" s="110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1:26">
      <c r="A817" s="110"/>
      <c r="B817" s="110"/>
      <c r="C817" s="110"/>
      <c r="D817" s="110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1:26">
      <c r="A818" s="110"/>
      <c r="B818" s="110"/>
      <c r="C818" s="110"/>
      <c r="D818" s="110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1:26">
      <c r="A819" s="110"/>
      <c r="B819" s="110"/>
      <c r="C819" s="110"/>
      <c r="D819" s="110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1:26">
      <c r="A820" s="110"/>
      <c r="B820" s="110"/>
      <c r="C820" s="110"/>
      <c r="D820" s="110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1:26">
      <c r="A821" s="110"/>
      <c r="B821" s="110"/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1:26">
      <c r="A822" s="110"/>
      <c r="B822" s="110"/>
      <c r="C822" s="110"/>
      <c r="D822" s="110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1:26">
      <c r="A823" s="110"/>
      <c r="B823" s="110"/>
      <c r="C823" s="110"/>
      <c r="D823" s="110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1:26">
      <c r="A824" s="110"/>
      <c r="B824" s="110"/>
      <c r="C824" s="110"/>
      <c r="D824" s="110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1:26">
      <c r="A825" s="110"/>
      <c r="B825" s="110"/>
      <c r="C825" s="110"/>
      <c r="D825" s="110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1:26">
      <c r="A826" s="110"/>
      <c r="B826" s="110"/>
      <c r="C826" s="110"/>
      <c r="D826" s="110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1:26">
      <c r="A827" s="110"/>
      <c r="B827" s="110"/>
      <c r="C827" s="110"/>
      <c r="D827" s="110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1:26">
      <c r="A828" s="110"/>
      <c r="B828" s="110"/>
      <c r="C828" s="110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1:26">
      <c r="A829" s="110"/>
      <c r="B829" s="110"/>
      <c r="C829" s="110"/>
      <c r="D829" s="110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</row>
    <row r="830" spans="1:26">
      <c r="A830" s="110"/>
      <c r="B830" s="110"/>
      <c r="C830" s="110"/>
      <c r="D830" s="110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</row>
    <row r="831" spans="1:26">
      <c r="A831" s="110"/>
      <c r="B831" s="110"/>
      <c r="C831" s="110"/>
      <c r="D831" s="110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</row>
    <row r="832" spans="1:26">
      <c r="A832" s="110"/>
      <c r="B832" s="110"/>
      <c r="C832" s="110"/>
      <c r="D832" s="110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</row>
    <row r="833" spans="1:26">
      <c r="A833" s="110"/>
      <c r="B833" s="110"/>
      <c r="C833" s="110"/>
      <c r="D833" s="110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</row>
    <row r="834" spans="1:26">
      <c r="A834" s="110"/>
      <c r="B834" s="110"/>
      <c r="C834" s="110"/>
      <c r="D834" s="110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</row>
    <row r="835" spans="1:26">
      <c r="A835" s="110"/>
      <c r="B835" s="110"/>
      <c r="C835" s="110"/>
      <c r="D835" s="110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</row>
    <row r="836" spans="1:26">
      <c r="A836" s="110"/>
      <c r="B836" s="110"/>
      <c r="C836" s="110"/>
      <c r="D836" s="110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1:26">
      <c r="A837" s="110"/>
      <c r="B837" s="110"/>
      <c r="C837" s="110"/>
      <c r="D837" s="110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1:26">
      <c r="A838" s="110"/>
      <c r="B838" s="110"/>
      <c r="C838" s="110"/>
      <c r="D838" s="110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1:26">
      <c r="A839" s="110"/>
      <c r="B839" s="110"/>
      <c r="C839" s="110"/>
      <c r="D839" s="110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1:26">
      <c r="A840" s="110"/>
      <c r="B840" s="110"/>
      <c r="C840" s="110"/>
      <c r="D840" s="110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1:26">
      <c r="A841" s="110"/>
      <c r="B841" s="110"/>
      <c r="C841" s="110"/>
      <c r="D841" s="110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1:26">
      <c r="A842" s="110"/>
      <c r="B842" s="110"/>
      <c r="C842" s="110"/>
      <c r="D842" s="110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1:26">
      <c r="A843" s="110"/>
      <c r="B843" s="110"/>
      <c r="C843" s="110"/>
      <c r="D843" s="110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1:26">
      <c r="A844" s="110"/>
      <c r="B844" s="110"/>
      <c r="C844" s="110"/>
      <c r="D844" s="110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1:26">
      <c r="A845" s="110"/>
      <c r="B845" s="110"/>
      <c r="C845" s="110"/>
      <c r="D845" s="110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1:26">
      <c r="A846" s="110"/>
      <c r="B846" s="110"/>
      <c r="C846" s="110"/>
      <c r="D846" s="110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1:26">
      <c r="A847" s="110"/>
      <c r="B847" s="110"/>
      <c r="C847" s="110"/>
      <c r="D847" s="110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1:26">
      <c r="A848" s="110"/>
      <c r="B848" s="110"/>
      <c r="C848" s="110"/>
      <c r="D848" s="110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1:26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1:26">
      <c r="A850" s="110"/>
      <c r="B850" s="110"/>
      <c r="C850" s="110"/>
      <c r="D850" s="110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1:26">
      <c r="A851" s="110"/>
      <c r="B851" s="110"/>
      <c r="C851" s="110"/>
      <c r="D851" s="110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1:26">
      <c r="A852" s="110"/>
      <c r="B852" s="110"/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1:26">
      <c r="A853" s="110"/>
      <c r="B853" s="110"/>
      <c r="C853" s="110"/>
      <c r="D853" s="110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1:26">
      <c r="A854" s="110"/>
      <c r="B854" s="110"/>
      <c r="C854" s="110"/>
      <c r="D854" s="110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1:26">
      <c r="A855" s="110"/>
      <c r="B855" s="110"/>
      <c r="C855" s="110"/>
      <c r="D855" s="110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1:26">
      <c r="A856" s="110"/>
      <c r="B856" s="110"/>
      <c r="C856" s="110"/>
      <c r="D856" s="110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1:26">
      <c r="A857" s="110"/>
      <c r="B857" s="110"/>
      <c r="C857" s="110"/>
      <c r="D857" s="110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1:26">
      <c r="A858" s="110"/>
      <c r="B858" s="110"/>
      <c r="C858" s="110"/>
      <c r="D858" s="110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1:26">
      <c r="A859" s="110"/>
      <c r="B859" s="110"/>
      <c r="C859" s="110"/>
      <c r="D859" s="110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1:26">
      <c r="A860" s="110"/>
      <c r="B860" s="110"/>
      <c r="C860" s="110"/>
      <c r="D860" s="110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1:26">
      <c r="A861" s="110"/>
      <c r="B861" s="110"/>
      <c r="C861" s="110"/>
      <c r="D861" s="110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1:26">
      <c r="A862" s="110"/>
      <c r="B862" s="110"/>
      <c r="C862" s="110"/>
      <c r="D862" s="110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1:26">
      <c r="A863" s="110"/>
      <c r="B863" s="110"/>
      <c r="C863" s="110"/>
      <c r="D863" s="110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1:26">
      <c r="A864" s="110"/>
      <c r="B864" s="110"/>
      <c r="C864" s="110"/>
      <c r="D864" s="110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1:26">
      <c r="A865" s="110"/>
      <c r="B865" s="110"/>
      <c r="C865" s="110"/>
      <c r="D865" s="110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1:26">
      <c r="A866" s="110"/>
      <c r="B866" s="110"/>
      <c r="C866" s="110"/>
      <c r="D866" s="110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1:26">
      <c r="A867" s="110"/>
      <c r="B867" s="110"/>
      <c r="C867" s="110"/>
      <c r="D867" s="110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1:26">
      <c r="A868" s="110"/>
      <c r="B868" s="110"/>
      <c r="C868" s="110"/>
      <c r="D868" s="110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1:26">
      <c r="A869" s="110"/>
      <c r="B869" s="110"/>
      <c r="C869" s="110"/>
      <c r="D869" s="110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1:26">
      <c r="A870" s="110"/>
      <c r="B870" s="110"/>
      <c r="C870" s="110"/>
      <c r="D870" s="110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1:26">
      <c r="A871" s="110"/>
      <c r="B871" s="110"/>
      <c r="C871" s="110"/>
      <c r="D871" s="110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1:26">
      <c r="A872" s="110"/>
      <c r="B872" s="110"/>
      <c r="C872" s="110"/>
      <c r="D872" s="110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1:26">
      <c r="A873" s="110"/>
      <c r="B873" s="110"/>
      <c r="C873" s="110"/>
      <c r="D873" s="110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1:26">
      <c r="A874" s="110"/>
      <c r="B874" s="110"/>
      <c r="C874" s="110"/>
      <c r="D874" s="110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1:26">
      <c r="A875" s="110"/>
      <c r="B875" s="110"/>
      <c r="C875" s="110"/>
      <c r="D875" s="110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1:26">
      <c r="A876" s="110"/>
      <c r="B876" s="110"/>
      <c r="C876" s="110"/>
      <c r="D876" s="110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1:26">
      <c r="A877" s="110"/>
      <c r="B877" s="110"/>
      <c r="C877" s="110"/>
      <c r="D877" s="110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1:26">
      <c r="A878" s="110"/>
      <c r="B878" s="110"/>
      <c r="C878" s="110"/>
      <c r="D878" s="110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1:26">
      <c r="A879" s="110"/>
      <c r="B879" s="110"/>
      <c r="C879" s="110"/>
      <c r="D879" s="110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1:26">
      <c r="A880" s="110"/>
      <c r="B880" s="110"/>
      <c r="C880" s="110"/>
      <c r="D880" s="110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1:26">
      <c r="A881" s="110"/>
      <c r="B881" s="110"/>
      <c r="C881" s="110"/>
      <c r="D881" s="110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1:26">
      <c r="A882" s="110"/>
      <c r="B882" s="110"/>
      <c r="C882" s="110"/>
      <c r="D882" s="110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1:26">
      <c r="A883" s="110"/>
      <c r="B883" s="110"/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1:26">
      <c r="A884" s="110"/>
      <c r="B884" s="110"/>
      <c r="C884" s="110"/>
      <c r="D884" s="110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1:26">
      <c r="A885" s="110"/>
      <c r="B885" s="110"/>
      <c r="C885" s="110"/>
      <c r="D885" s="110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1:26">
      <c r="A886" s="110"/>
      <c r="B886" s="110"/>
      <c r="C886" s="110"/>
      <c r="D886" s="110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1:26">
      <c r="A887" s="110"/>
      <c r="B887" s="110"/>
      <c r="C887" s="110"/>
      <c r="D887" s="110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1:26">
      <c r="A888" s="110"/>
      <c r="B888" s="110"/>
      <c r="C888" s="110"/>
      <c r="D888" s="110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1:26">
      <c r="A889" s="110"/>
      <c r="B889" s="110"/>
      <c r="C889" s="110"/>
      <c r="D889" s="110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1:26">
      <c r="A890" s="110"/>
      <c r="B890" s="110"/>
      <c r="C890" s="110"/>
      <c r="D890" s="110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1:26">
      <c r="A891" s="110"/>
      <c r="B891" s="110"/>
      <c r="C891" s="110"/>
      <c r="D891" s="110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1:26">
      <c r="A892" s="110"/>
      <c r="B892" s="110"/>
      <c r="C892" s="110"/>
      <c r="D892" s="110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26">
      <c r="A893" s="110"/>
      <c r="B893" s="110"/>
      <c r="C893" s="110"/>
      <c r="D893" s="110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1:26">
      <c r="A894" s="110"/>
      <c r="B894" s="110"/>
      <c r="C894" s="110"/>
      <c r="D894" s="110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1:26">
      <c r="A895" s="110"/>
      <c r="B895" s="110"/>
      <c r="C895" s="110"/>
      <c r="D895" s="110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1:26">
      <c r="A896" s="110"/>
      <c r="B896" s="110"/>
      <c r="C896" s="110"/>
      <c r="D896" s="110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1:26">
      <c r="A897" s="110"/>
      <c r="B897" s="110"/>
      <c r="C897" s="110"/>
      <c r="D897" s="110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1:26">
      <c r="A898" s="110"/>
      <c r="B898" s="110"/>
      <c r="C898" s="110"/>
      <c r="D898" s="110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1:26">
      <c r="A899" s="110"/>
      <c r="B899" s="110"/>
      <c r="C899" s="110"/>
      <c r="D899" s="110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1:26">
      <c r="A900" s="110"/>
      <c r="B900" s="110"/>
      <c r="C900" s="110"/>
      <c r="D900" s="110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1:26">
      <c r="A901" s="110"/>
      <c r="B901" s="110"/>
      <c r="C901" s="110"/>
      <c r="D901" s="110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1:26">
      <c r="A902" s="110"/>
      <c r="B902" s="110"/>
      <c r="C902" s="110"/>
      <c r="D902" s="110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1:26">
      <c r="A903" s="110"/>
      <c r="B903" s="110"/>
      <c r="C903" s="110"/>
      <c r="D903" s="110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1:26">
      <c r="A904" s="110"/>
      <c r="B904" s="110"/>
      <c r="C904" s="110"/>
      <c r="D904" s="110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1:26">
      <c r="A905" s="110"/>
      <c r="B905" s="110"/>
      <c r="C905" s="110"/>
      <c r="D905" s="110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1:26">
      <c r="A906" s="110"/>
      <c r="B906" s="110"/>
      <c r="C906" s="110"/>
      <c r="D906" s="110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1:26">
      <c r="A907" s="110"/>
      <c r="B907" s="110"/>
      <c r="C907" s="110"/>
      <c r="D907" s="110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1:26">
      <c r="A908" s="110"/>
      <c r="B908" s="110"/>
      <c r="C908" s="110"/>
      <c r="D908" s="110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1:26">
      <c r="A909" s="110"/>
      <c r="B909" s="110"/>
      <c r="C909" s="110"/>
      <c r="D909" s="110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1:26">
      <c r="A910" s="110"/>
      <c r="B910" s="110"/>
      <c r="C910" s="110"/>
      <c r="D910" s="110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1:26">
      <c r="A911" s="110"/>
      <c r="B911" s="110"/>
      <c r="C911" s="110"/>
      <c r="D911" s="110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1:26">
      <c r="A912" s="110"/>
      <c r="B912" s="110"/>
      <c r="C912" s="110"/>
      <c r="D912" s="110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1:26">
      <c r="A913" s="110"/>
      <c r="B913" s="110"/>
      <c r="C913" s="110"/>
      <c r="D913" s="110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1:26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1:26">
      <c r="A915" s="110"/>
      <c r="B915" s="110"/>
      <c r="C915" s="110"/>
      <c r="D915" s="110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1:26">
      <c r="A916" s="110"/>
      <c r="B916" s="110"/>
      <c r="C916" s="110"/>
      <c r="D916" s="110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1:26">
      <c r="A917" s="110"/>
      <c r="B917" s="110"/>
      <c r="C917" s="110"/>
      <c r="D917" s="110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1:26">
      <c r="A918" s="110"/>
      <c r="B918" s="110"/>
      <c r="C918" s="110"/>
      <c r="D918" s="110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1:26">
      <c r="A919" s="110"/>
      <c r="B919" s="110"/>
      <c r="C919" s="110"/>
      <c r="D919" s="110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1:26">
      <c r="A920" s="110"/>
      <c r="B920" s="110"/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1:26">
      <c r="A921" s="110"/>
      <c r="B921" s="110"/>
      <c r="C921" s="110"/>
      <c r="D921" s="110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1:26">
      <c r="A922" s="110"/>
      <c r="B922" s="110"/>
      <c r="C922" s="110"/>
      <c r="D922" s="110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1:26">
      <c r="A923" s="110"/>
      <c r="B923" s="110"/>
      <c r="C923" s="110"/>
      <c r="D923" s="110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1:26">
      <c r="A924" s="110"/>
      <c r="B924" s="110"/>
      <c r="C924" s="110"/>
      <c r="D924" s="110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1:26">
      <c r="A925" s="110"/>
      <c r="B925" s="110"/>
      <c r="C925" s="110"/>
      <c r="D925" s="110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1:26">
      <c r="A926" s="110"/>
      <c r="B926" s="110"/>
      <c r="C926" s="110"/>
      <c r="D926" s="110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1:26">
      <c r="A927" s="110"/>
      <c r="B927" s="110"/>
      <c r="C927" s="110"/>
      <c r="D927" s="110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1:26">
      <c r="A928" s="110"/>
      <c r="B928" s="110"/>
      <c r="C928" s="110"/>
      <c r="D928" s="110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1:26">
      <c r="A929" s="110"/>
      <c r="B929" s="110"/>
      <c r="C929" s="110"/>
      <c r="D929" s="110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1:26">
      <c r="A930" s="110"/>
      <c r="B930" s="110"/>
      <c r="C930" s="110"/>
      <c r="D930" s="110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1:26">
      <c r="A931" s="110"/>
      <c r="B931" s="110"/>
      <c r="C931" s="110"/>
      <c r="D931" s="110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1:26">
      <c r="A932" s="110"/>
      <c r="B932" s="110"/>
      <c r="C932" s="110"/>
      <c r="D932" s="110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1:26">
      <c r="A933" s="110"/>
      <c r="B933" s="110"/>
      <c r="C933" s="110"/>
      <c r="D933" s="110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1:26">
      <c r="A934" s="110"/>
      <c r="B934" s="110"/>
      <c r="C934" s="110"/>
      <c r="D934" s="110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1:26">
      <c r="A935" s="110"/>
      <c r="B935" s="110"/>
      <c r="C935" s="110"/>
      <c r="D935" s="110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1:26">
      <c r="A936" s="110"/>
      <c r="B936" s="110"/>
      <c r="C936" s="110"/>
      <c r="D936" s="110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1:26">
      <c r="A937" s="110"/>
      <c r="B937" s="110"/>
      <c r="C937" s="110"/>
      <c r="D937" s="110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1:26">
      <c r="A938" s="110"/>
      <c r="B938" s="110"/>
      <c r="C938" s="110"/>
      <c r="D938" s="110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1:26">
      <c r="A939" s="110"/>
      <c r="B939" s="110"/>
      <c r="C939" s="110"/>
      <c r="D939" s="110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1:26">
      <c r="A940" s="110"/>
      <c r="B940" s="110"/>
      <c r="C940" s="110"/>
      <c r="D940" s="110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1:26">
      <c r="A941" s="110"/>
      <c r="B941" s="110"/>
      <c r="C941" s="110"/>
      <c r="D941" s="110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1:26">
      <c r="A942" s="110"/>
      <c r="B942" s="110"/>
      <c r="C942" s="110"/>
      <c r="D942" s="110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1:26">
      <c r="A943" s="110"/>
      <c r="B943" s="110"/>
      <c r="C943" s="110"/>
      <c r="D943" s="110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1:26">
      <c r="A944" s="110"/>
      <c r="B944" s="110"/>
      <c r="C944" s="110"/>
      <c r="D944" s="110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1:26">
      <c r="A945" s="110"/>
      <c r="B945" s="110"/>
      <c r="C945" s="110"/>
      <c r="D945" s="110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1:26">
      <c r="A946" s="110"/>
      <c r="B946" s="110"/>
      <c r="C946" s="110"/>
      <c r="D946" s="110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1:26">
      <c r="A947" s="110"/>
      <c r="B947" s="110"/>
      <c r="C947" s="110"/>
      <c r="D947" s="110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1:26">
      <c r="A948" s="110"/>
      <c r="B948" s="110"/>
      <c r="C948" s="110"/>
      <c r="D948" s="110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1:26">
      <c r="A949" s="110"/>
      <c r="B949" s="110"/>
      <c r="C949" s="110"/>
      <c r="D949" s="110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1:26">
      <c r="A950" s="110"/>
      <c r="B950" s="110"/>
      <c r="C950" s="110"/>
      <c r="D950" s="110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1:26">
      <c r="A951" s="110"/>
      <c r="B951" s="110"/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1:26">
      <c r="A952" s="110"/>
      <c r="B952" s="110"/>
      <c r="C952" s="110"/>
      <c r="D952" s="110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1:26">
      <c r="A953" s="110"/>
      <c r="B953" s="110"/>
      <c r="C953" s="110"/>
      <c r="D953" s="110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1:26">
      <c r="A954" s="110"/>
      <c r="B954" s="110"/>
      <c r="C954" s="110"/>
      <c r="D954" s="110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1:26">
      <c r="A955" s="110"/>
      <c r="B955" s="110"/>
      <c r="C955" s="110"/>
      <c r="D955" s="110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1:26">
      <c r="A956" s="110"/>
      <c r="B956" s="110"/>
      <c r="C956" s="110"/>
      <c r="D956" s="110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1:26">
      <c r="A957" s="110"/>
      <c r="B957" s="110"/>
      <c r="C957" s="110"/>
      <c r="D957" s="110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1:26">
      <c r="A958" s="110"/>
      <c r="B958" s="110"/>
      <c r="C958" s="110"/>
      <c r="D958" s="110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1:26">
      <c r="A959" s="110"/>
      <c r="B959" s="110"/>
      <c r="C959" s="110"/>
      <c r="D959" s="110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1:26">
      <c r="A960" s="110"/>
      <c r="B960" s="110"/>
      <c r="C960" s="110"/>
      <c r="D960" s="110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1:26">
      <c r="A961" s="110"/>
      <c r="B961" s="110"/>
      <c r="C961" s="110"/>
      <c r="D961" s="110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6">
      <c r="A962" s="110"/>
      <c r="B962" s="110"/>
      <c r="C962" s="110"/>
      <c r="D962" s="110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1:26">
      <c r="A963" s="110"/>
      <c r="B963" s="110"/>
      <c r="C963" s="110"/>
      <c r="D963" s="110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6">
      <c r="A964" s="110"/>
      <c r="B964" s="110"/>
      <c r="C964" s="110"/>
      <c r="D964" s="110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1:26">
      <c r="A965" s="110"/>
      <c r="B965" s="110"/>
      <c r="C965" s="110"/>
      <c r="D965" s="110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1:26">
      <c r="A966" s="110"/>
      <c r="B966" s="110"/>
      <c r="C966" s="110"/>
      <c r="D966" s="110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1:26">
      <c r="A967" s="110"/>
      <c r="B967" s="110"/>
      <c r="C967" s="110"/>
      <c r="D967" s="110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1:26">
      <c r="A968" s="110"/>
      <c r="B968" s="110"/>
      <c r="C968" s="110"/>
      <c r="D968" s="110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1:26">
      <c r="A969" s="110"/>
      <c r="B969" s="110"/>
      <c r="C969" s="110"/>
      <c r="D969" s="110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1:26">
      <c r="A970" s="110"/>
      <c r="B970" s="110"/>
      <c r="C970" s="110"/>
      <c r="D970" s="110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1:26">
      <c r="A971" s="110"/>
      <c r="B971" s="110"/>
      <c r="C971" s="110"/>
      <c r="D971" s="110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1:26">
      <c r="A972" s="110"/>
      <c r="B972" s="110"/>
      <c r="C972" s="110"/>
      <c r="D972" s="110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1:26">
      <c r="A973" s="110"/>
      <c r="B973" s="110"/>
      <c r="C973" s="110"/>
      <c r="D973" s="110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1:26">
      <c r="A974" s="110"/>
      <c r="B974" s="110"/>
      <c r="C974" s="110"/>
      <c r="D974" s="110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1:26">
      <c r="A975" s="110"/>
      <c r="B975" s="110"/>
      <c r="C975" s="110"/>
      <c r="D975" s="110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1:26">
      <c r="A976" s="110"/>
      <c r="B976" s="110"/>
      <c r="C976" s="110"/>
      <c r="D976" s="110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1:26">
      <c r="A977" s="110"/>
      <c r="B977" s="110"/>
      <c r="C977" s="110"/>
      <c r="D977" s="110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1:26">
      <c r="A978" s="110"/>
      <c r="B978" s="110"/>
      <c r="C978" s="110"/>
      <c r="D978" s="110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1:26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1:26">
      <c r="A980" s="110"/>
      <c r="B980" s="110"/>
      <c r="C980" s="110"/>
      <c r="D980" s="110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1:26">
      <c r="A981" s="110"/>
      <c r="B981" s="110"/>
      <c r="C981" s="110"/>
      <c r="D981" s="110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1:26">
      <c r="A982" s="110"/>
      <c r="B982" s="110"/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1:26">
      <c r="A983" s="110"/>
      <c r="B983" s="110"/>
      <c r="C983" s="110"/>
      <c r="D983" s="110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1:26">
      <c r="A984" s="110"/>
      <c r="B984" s="110"/>
      <c r="C984" s="110"/>
      <c r="D984" s="110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1:26">
      <c r="A985" s="110"/>
      <c r="B985" s="110"/>
      <c r="C985" s="110"/>
      <c r="D985" s="110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spans="1:26">
      <c r="A986" s="110"/>
      <c r="B986" s="110"/>
      <c r="C986" s="110"/>
      <c r="D986" s="110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spans="1:26">
      <c r="A987" s="110"/>
      <c r="B987" s="110"/>
      <c r="C987" s="110"/>
      <c r="D987" s="110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spans="1:26">
      <c r="A988" s="110"/>
      <c r="B988" s="110"/>
      <c r="C988" s="110"/>
      <c r="D988" s="110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spans="1:26">
      <c r="A989" s="110"/>
      <c r="B989" s="110"/>
      <c r="C989" s="110"/>
      <c r="D989" s="110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spans="1:26">
      <c r="A990" s="110"/>
      <c r="B990" s="110"/>
      <c r="C990" s="110"/>
      <c r="D990" s="110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spans="1:26">
      <c r="A991" s="110"/>
      <c r="B991" s="110"/>
      <c r="C991" s="110"/>
      <c r="D991" s="110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spans="1:26">
      <c r="A992" s="110"/>
      <c r="B992" s="110"/>
      <c r="C992" s="110"/>
      <c r="D992" s="110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spans="1:26">
      <c r="A993" s="110"/>
      <c r="B993" s="110"/>
      <c r="C993" s="110"/>
      <c r="D993" s="110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spans="1:26">
      <c r="A994" s="110"/>
      <c r="B994" s="110"/>
      <c r="C994" s="110"/>
      <c r="D994" s="110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spans="1:26">
      <c r="A995" s="110"/>
      <c r="B995" s="110"/>
      <c r="C995" s="110"/>
      <c r="D995" s="110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spans="1:26">
      <c r="A996" s="110"/>
      <c r="B996" s="110"/>
      <c r="C996" s="110"/>
      <c r="D996" s="110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spans="1:26">
      <c r="A997" s="110"/>
      <c r="B997" s="110"/>
      <c r="C997" s="110"/>
      <c r="D997" s="110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spans="1:26">
      <c r="A998" s="110"/>
      <c r="B998" s="110"/>
      <c r="C998" s="110"/>
      <c r="D998" s="110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spans="1:26">
      <c r="A999" s="110"/>
      <c r="B999" s="110"/>
      <c r="C999" s="110"/>
      <c r="D999" s="110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spans="1:26">
      <c r="A1000" s="110"/>
      <c r="B1000" s="110"/>
      <c r="C1000" s="110"/>
      <c r="D1000" s="110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  <row r="1001" spans="1:26">
      <c r="A1001" s="110"/>
      <c r="B1001" s="110"/>
      <c r="C1001" s="110"/>
      <c r="D1001" s="110"/>
      <c r="E1001" s="110"/>
      <c r="F1001" s="110"/>
      <c r="G1001" s="110"/>
      <c r="H1001" s="110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110"/>
      <c r="X1001" s="110"/>
      <c r="Y1001" s="110"/>
      <c r="Z1001" s="110"/>
    </row>
  </sheetData>
  <mergeCells count="12">
    <mergeCell ref="A1:S1"/>
    <mergeCell ref="A2:P2"/>
    <mergeCell ref="A4:C4"/>
    <mergeCell ref="A5:C5"/>
    <mergeCell ref="A8:A10"/>
    <mergeCell ref="A13:A15"/>
    <mergeCell ref="A21:A23"/>
    <mergeCell ref="A26:A28"/>
    <mergeCell ref="D24:S24"/>
    <mergeCell ref="A30:S30"/>
    <mergeCell ref="A17:C17"/>
    <mergeCell ref="A18:C18"/>
  </mergeCells>
  <printOptions horizontalCentered="1" gridLines="1"/>
  <pageMargins left="0.7" right="0.7" top="0.75" bottom="0.75" header="0" footer="0"/>
  <pageSetup scale="77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H1000"/>
  <sheetViews>
    <sheetView workbookViewId="0"/>
  </sheetViews>
  <sheetFormatPr defaultColWidth="14.42578125" defaultRowHeight="15" customHeight="1"/>
  <cols>
    <col min="1" max="1" width="19.140625" customWidth="1"/>
    <col min="2" max="2" width="6.5703125" customWidth="1"/>
    <col min="3" max="3" width="8.7109375" customWidth="1"/>
    <col min="4" max="19" width="9.140625" customWidth="1"/>
    <col min="20" max="34" width="6.5703125" customWidth="1"/>
  </cols>
  <sheetData>
    <row r="1" spans="1:34">
      <c r="A1" s="20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9"/>
      <c r="R1" s="9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>
      <c r="A2" s="10"/>
      <c r="B2" s="10"/>
      <c r="C2" s="10"/>
      <c r="D2" s="12"/>
      <c r="E2" s="10"/>
      <c r="F2" s="10"/>
      <c r="G2" s="12"/>
      <c r="H2" s="10"/>
      <c r="I2" s="10"/>
      <c r="J2" s="10"/>
      <c r="K2" s="9"/>
      <c r="L2" s="9"/>
      <c r="M2" s="9"/>
      <c r="N2" s="9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>
      <c r="A3" s="199" t="s">
        <v>1</v>
      </c>
      <c r="B3" s="200"/>
      <c r="C3" s="201"/>
      <c r="D3" s="13"/>
      <c r="E3" s="14"/>
      <c r="F3" s="14"/>
      <c r="G3" s="14"/>
      <c r="H3" s="14"/>
      <c r="I3" s="14"/>
      <c r="J3" s="14"/>
      <c r="K3" s="15"/>
      <c r="L3" s="15"/>
      <c r="M3" s="15"/>
      <c r="N3" s="15"/>
      <c r="O3" s="15"/>
      <c r="P3" s="15"/>
      <c r="Q3" s="15"/>
      <c r="R3" s="15"/>
      <c r="S3" s="16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</row>
    <row r="4" spans="1:34">
      <c r="A4" s="202" t="s">
        <v>2</v>
      </c>
      <c r="B4" s="200"/>
      <c r="C4" s="201"/>
      <c r="D4" s="17"/>
      <c r="E4" s="18"/>
      <c r="F4" s="18"/>
      <c r="G4" s="17"/>
      <c r="H4" s="18"/>
      <c r="I4" s="18"/>
      <c r="J4" s="18"/>
      <c r="K4" s="9"/>
      <c r="L4" s="9"/>
      <c r="M4" s="9"/>
      <c r="N4" s="9"/>
      <c r="O4" s="9"/>
      <c r="P4" s="9"/>
      <c r="Q4" s="9"/>
      <c r="R4" s="9"/>
      <c r="S4" s="9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</row>
    <row r="5" spans="1:34">
      <c r="A5" s="19"/>
      <c r="B5" s="20"/>
      <c r="C5" s="21"/>
      <c r="D5" s="22" t="s">
        <v>18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42.75">
      <c r="A6" s="144" t="s">
        <v>3</v>
      </c>
      <c r="B6" s="27" t="s">
        <v>4</v>
      </c>
      <c r="C6" s="75" t="s">
        <v>5</v>
      </c>
      <c r="D6" s="29">
        <v>0</v>
      </c>
      <c r="E6" s="29">
        <v>1</v>
      </c>
      <c r="F6" s="29">
        <v>2</v>
      </c>
      <c r="G6" s="29">
        <v>3</v>
      </c>
      <c r="H6" s="29">
        <v>4</v>
      </c>
      <c r="I6" s="29">
        <v>5</v>
      </c>
      <c r="J6" s="29">
        <v>6</v>
      </c>
      <c r="K6" s="29">
        <v>7</v>
      </c>
      <c r="L6" s="29">
        <v>8</v>
      </c>
      <c r="M6" s="29">
        <v>9</v>
      </c>
      <c r="N6" s="29">
        <v>10</v>
      </c>
      <c r="O6" s="29">
        <v>11</v>
      </c>
      <c r="P6" s="29">
        <v>12</v>
      </c>
      <c r="Q6" s="29">
        <v>13</v>
      </c>
      <c r="R6" s="29">
        <v>14</v>
      </c>
      <c r="S6" s="29">
        <v>15</v>
      </c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</row>
    <row r="7" spans="1:34" ht="20.25" customHeight="1">
      <c r="A7" s="145" t="s">
        <v>10</v>
      </c>
      <c r="B7" s="146">
        <v>7.5</v>
      </c>
      <c r="C7" s="79" t="s">
        <v>8</v>
      </c>
      <c r="D7" s="34">
        <f>22118*1.075</f>
        <v>23776.85</v>
      </c>
      <c r="E7" s="34">
        <f>23052*1.075</f>
        <v>24780.899999999998</v>
      </c>
      <c r="F7" s="34">
        <f>23975*1.075</f>
        <v>25773.125</v>
      </c>
      <c r="G7" s="34">
        <f>24921*1.075</f>
        <v>26790.074999999997</v>
      </c>
      <c r="H7" s="34">
        <f>25875*1.075</f>
        <v>27815.625</v>
      </c>
      <c r="I7" s="34">
        <f>26790*1.075</f>
        <v>28799.25</v>
      </c>
      <c r="J7" s="34">
        <f>27724*1.075</f>
        <v>29803.3</v>
      </c>
      <c r="K7" s="34">
        <f>28658*1.075</f>
        <v>30807.35</v>
      </c>
      <c r="L7" s="34">
        <f>29593*1.075</f>
        <v>31812.474999999999</v>
      </c>
      <c r="M7" s="34">
        <f>30527*1.075</f>
        <v>32816.525000000001</v>
      </c>
      <c r="N7" s="34">
        <f>31460*1.075</f>
        <v>33819.5</v>
      </c>
      <c r="O7" s="34">
        <f>32295*1.075</f>
        <v>34717.125</v>
      </c>
      <c r="P7" s="34">
        <f>33329*1.075</f>
        <v>35828.674999999996</v>
      </c>
      <c r="Q7" s="34">
        <f>34263*1.075</f>
        <v>36832.724999999999</v>
      </c>
      <c r="R7" s="34">
        <f>35197*1.075</f>
        <v>37836.775000000001</v>
      </c>
      <c r="S7" s="34">
        <f>36131*1.075</f>
        <v>38840.824999999997</v>
      </c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</row>
    <row r="8" spans="1:34" ht="18" customHeight="1">
      <c r="A8" s="36" t="s">
        <v>14</v>
      </c>
      <c r="B8" s="37"/>
      <c r="C8" s="37"/>
      <c r="D8" s="38">
        <f t="shared" ref="D8:S8" si="0">D7/240</f>
        <v>99.070208333333326</v>
      </c>
      <c r="E8" s="39">
        <f t="shared" si="0"/>
        <v>103.25375</v>
      </c>
      <c r="F8" s="39">
        <f t="shared" si="0"/>
        <v>107.38802083333333</v>
      </c>
      <c r="G8" s="39">
        <f t="shared" si="0"/>
        <v>111.62531249999999</v>
      </c>
      <c r="H8" s="39">
        <f t="shared" si="0"/>
        <v>115.8984375</v>
      </c>
      <c r="I8" s="39">
        <f t="shared" si="0"/>
        <v>119.996875</v>
      </c>
      <c r="J8" s="39">
        <f t="shared" si="0"/>
        <v>124.18041666666666</v>
      </c>
      <c r="K8" s="39">
        <f t="shared" si="0"/>
        <v>128.36395833333333</v>
      </c>
      <c r="L8" s="39">
        <f t="shared" si="0"/>
        <v>132.55197916666665</v>
      </c>
      <c r="M8" s="39">
        <f t="shared" si="0"/>
        <v>136.73552083333334</v>
      </c>
      <c r="N8" s="39">
        <f t="shared" si="0"/>
        <v>140.91458333333333</v>
      </c>
      <c r="O8" s="39">
        <f t="shared" si="0"/>
        <v>144.65468749999999</v>
      </c>
      <c r="P8" s="39">
        <f t="shared" si="0"/>
        <v>149.28614583333331</v>
      </c>
      <c r="Q8" s="39">
        <f t="shared" si="0"/>
        <v>153.46968749999999</v>
      </c>
      <c r="R8" s="39">
        <f t="shared" si="0"/>
        <v>157.65322916666668</v>
      </c>
      <c r="S8" s="39">
        <f t="shared" si="0"/>
        <v>161.83677083333333</v>
      </c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</row>
    <row r="9" spans="1:34" ht="19.5" customHeight="1">
      <c r="A9" s="40" t="s">
        <v>15</v>
      </c>
      <c r="B9" s="37"/>
      <c r="C9" s="37"/>
      <c r="D9" s="41">
        <f t="shared" ref="D9:S9" si="1">D8/7.5</f>
        <v>13.209361111111111</v>
      </c>
      <c r="E9" s="41">
        <f t="shared" si="1"/>
        <v>13.767166666666666</v>
      </c>
      <c r="F9" s="41">
        <f t="shared" si="1"/>
        <v>14.318402777777777</v>
      </c>
      <c r="G9" s="41">
        <f t="shared" si="1"/>
        <v>14.883374999999999</v>
      </c>
      <c r="H9" s="41">
        <f t="shared" si="1"/>
        <v>15.453125</v>
      </c>
      <c r="I9" s="41">
        <f t="shared" si="1"/>
        <v>15.999583333333334</v>
      </c>
      <c r="J9" s="41">
        <f t="shared" si="1"/>
        <v>16.557388888888887</v>
      </c>
      <c r="K9" s="41">
        <f t="shared" si="1"/>
        <v>17.115194444444445</v>
      </c>
      <c r="L9" s="41">
        <f t="shared" si="1"/>
        <v>17.67359722222222</v>
      </c>
      <c r="M9" s="41">
        <f t="shared" si="1"/>
        <v>18.231402777777777</v>
      </c>
      <c r="N9" s="41">
        <f t="shared" si="1"/>
        <v>18.788611111111109</v>
      </c>
      <c r="O9" s="41">
        <f t="shared" si="1"/>
        <v>19.287291666666665</v>
      </c>
      <c r="P9" s="41">
        <f t="shared" si="1"/>
        <v>19.904819444444442</v>
      </c>
      <c r="Q9" s="41">
        <f t="shared" si="1"/>
        <v>20.462624999999999</v>
      </c>
      <c r="R9" s="41">
        <f t="shared" si="1"/>
        <v>21.020430555555556</v>
      </c>
      <c r="S9" s="41">
        <f t="shared" si="1"/>
        <v>21.57823611111111</v>
      </c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</row>
    <row r="10" spans="1:34">
      <c r="A10" s="10"/>
      <c r="B10" s="10"/>
      <c r="C10" s="10"/>
      <c r="D10" s="22" t="s">
        <v>18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2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34" ht="26.25" customHeight="1">
      <c r="A11" s="44" t="s">
        <v>17</v>
      </c>
      <c r="B11" s="10"/>
      <c r="C11" s="10"/>
      <c r="D11" s="29">
        <v>16</v>
      </c>
      <c r="E11" s="29">
        <v>17</v>
      </c>
      <c r="F11" s="29">
        <v>18</v>
      </c>
      <c r="G11" s="29">
        <v>19</v>
      </c>
      <c r="H11" s="29">
        <v>20</v>
      </c>
      <c r="I11" s="29">
        <v>21</v>
      </c>
      <c r="J11" s="29">
        <v>22</v>
      </c>
      <c r="K11" s="29">
        <v>23</v>
      </c>
      <c r="L11" s="29">
        <v>24</v>
      </c>
      <c r="M11" s="29">
        <v>25</v>
      </c>
      <c r="N11" s="29">
        <v>26</v>
      </c>
      <c r="O11" s="29">
        <v>27</v>
      </c>
      <c r="P11" s="29">
        <v>28</v>
      </c>
      <c r="Q11" s="29">
        <v>29</v>
      </c>
      <c r="R11" s="29">
        <v>30</v>
      </c>
      <c r="S11" s="10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</row>
    <row r="12" spans="1:34" ht="20.25" customHeight="1">
      <c r="A12" s="145" t="s">
        <v>10</v>
      </c>
      <c r="B12" s="37"/>
      <c r="C12" s="37"/>
      <c r="D12" s="34">
        <f>37066*1.075</f>
        <v>39845.949999999997</v>
      </c>
      <c r="E12" s="34">
        <f>38000*1.075</f>
        <v>40850</v>
      </c>
      <c r="F12" s="34">
        <f>38934*1.075</f>
        <v>41854.049999999996</v>
      </c>
      <c r="G12" s="34">
        <f>39868*1.075</f>
        <v>42858.1</v>
      </c>
      <c r="H12" s="34">
        <f>40802*1.075</f>
        <v>43862.15</v>
      </c>
      <c r="I12" s="34">
        <f>41762*1.075</f>
        <v>44894.15</v>
      </c>
      <c r="J12" s="34">
        <f>42671*1.075</f>
        <v>45871.324999999997</v>
      </c>
      <c r="K12" s="34">
        <f>43606*1.075</f>
        <v>46876.45</v>
      </c>
      <c r="L12" s="34">
        <f>44539*1.075</f>
        <v>47879.424999999996</v>
      </c>
      <c r="M12" s="34">
        <f>45474*1.075</f>
        <v>48884.549999999996</v>
      </c>
      <c r="N12" s="34">
        <f>46408*1.075</f>
        <v>49888.6</v>
      </c>
      <c r="O12" s="34">
        <f>47342*1.075</f>
        <v>50892.65</v>
      </c>
      <c r="P12" s="34">
        <f>48276*1.075</f>
        <v>51896.7</v>
      </c>
      <c r="Q12" s="34">
        <f>49210*1.075</f>
        <v>52900.75</v>
      </c>
      <c r="R12" s="34">
        <f>50145*1.075</f>
        <v>53905.875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18" customHeight="1">
      <c r="A13" s="36" t="s">
        <v>14</v>
      </c>
      <c r="B13" s="37"/>
      <c r="C13" s="37"/>
      <c r="D13" s="39">
        <f t="shared" ref="D13:R13" si="2">D12/240</f>
        <v>166.02479166666666</v>
      </c>
      <c r="E13" s="39">
        <f t="shared" si="2"/>
        <v>170.20833333333334</v>
      </c>
      <c r="F13" s="39">
        <f t="shared" si="2"/>
        <v>174.39187499999997</v>
      </c>
      <c r="G13" s="39">
        <f t="shared" si="2"/>
        <v>178.57541666666665</v>
      </c>
      <c r="H13" s="39">
        <f t="shared" si="2"/>
        <v>182.75895833333334</v>
      </c>
      <c r="I13" s="39">
        <f t="shared" si="2"/>
        <v>187.05895833333335</v>
      </c>
      <c r="J13" s="39">
        <f t="shared" si="2"/>
        <v>191.13052083333332</v>
      </c>
      <c r="K13" s="39">
        <f t="shared" si="2"/>
        <v>195.31854166666665</v>
      </c>
      <c r="L13" s="39">
        <f t="shared" si="2"/>
        <v>199.49760416666666</v>
      </c>
      <c r="M13" s="39">
        <f t="shared" si="2"/>
        <v>203.68562499999999</v>
      </c>
      <c r="N13" s="39">
        <f t="shared" si="2"/>
        <v>207.86916666666667</v>
      </c>
      <c r="O13" s="39">
        <f t="shared" si="2"/>
        <v>212.05270833333333</v>
      </c>
      <c r="P13" s="39">
        <f t="shared" si="2"/>
        <v>216.23624999999998</v>
      </c>
      <c r="Q13" s="39">
        <f t="shared" si="2"/>
        <v>220.41979166666667</v>
      </c>
      <c r="R13" s="39">
        <f t="shared" si="2"/>
        <v>224.60781249999999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19.5" customHeight="1">
      <c r="A14" s="40" t="s">
        <v>15</v>
      </c>
      <c r="B14" s="37"/>
      <c r="C14" s="37"/>
      <c r="D14" s="45">
        <f t="shared" ref="D14:R14" si="3">D13/7.5</f>
        <v>22.136638888888889</v>
      </c>
      <c r="E14" s="45">
        <f t="shared" si="3"/>
        <v>22.694444444444446</v>
      </c>
      <c r="F14" s="45">
        <f t="shared" si="3"/>
        <v>23.252249999999997</v>
      </c>
      <c r="G14" s="45">
        <f t="shared" si="3"/>
        <v>23.810055555555554</v>
      </c>
      <c r="H14" s="45">
        <f t="shared" si="3"/>
        <v>24.367861111111111</v>
      </c>
      <c r="I14" s="45">
        <f t="shared" si="3"/>
        <v>24.941194444444445</v>
      </c>
      <c r="J14" s="45">
        <f t="shared" si="3"/>
        <v>25.484069444444444</v>
      </c>
      <c r="K14" s="45">
        <f t="shared" si="3"/>
        <v>26.042472222222219</v>
      </c>
      <c r="L14" s="45">
        <f t="shared" si="3"/>
        <v>26.599680555555555</v>
      </c>
      <c r="M14" s="45">
        <f t="shared" si="3"/>
        <v>27.15808333333333</v>
      </c>
      <c r="N14" s="45">
        <f t="shared" si="3"/>
        <v>27.715888888888891</v>
      </c>
      <c r="O14" s="45">
        <f t="shared" si="3"/>
        <v>28.273694444444445</v>
      </c>
      <c r="P14" s="45">
        <f t="shared" si="3"/>
        <v>28.831499999999998</v>
      </c>
      <c r="Q14" s="45">
        <f t="shared" si="3"/>
        <v>29.389305555555556</v>
      </c>
      <c r="R14" s="45">
        <f t="shared" si="3"/>
        <v>29.947708333333331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34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4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1:34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1:34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3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1:34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1:3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1:34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1:34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1:34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4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4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4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4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4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</row>
    <row r="138" spans="1:34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1:34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</row>
    <row r="140" spans="1:34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</row>
    <row r="141" spans="1:34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</row>
    <row r="142" spans="1:34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</row>
    <row r="143" spans="1:34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</row>
    <row r="144" spans="1:3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</row>
    <row r="145" spans="1:34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</row>
    <row r="146" spans="1:34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</row>
    <row r="147" spans="1:34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</row>
    <row r="148" spans="1:34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</row>
    <row r="149" spans="1:34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</row>
    <row r="150" spans="1:34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</row>
    <row r="151" spans="1:34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</row>
    <row r="152" spans="1:34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</row>
    <row r="153" spans="1:34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</row>
    <row r="154" spans="1:3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</row>
    <row r="155" spans="1:34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</row>
    <row r="156" spans="1:34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</row>
    <row r="157" spans="1:34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</row>
    <row r="158" spans="1:34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</row>
    <row r="159" spans="1:34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</row>
    <row r="160" spans="1:34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</row>
    <row r="161" spans="1:34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</row>
    <row r="162" spans="1:34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</row>
    <row r="163" spans="1:34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</row>
    <row r="164" spans="1:3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</row>
    <row r="165" spans="1:34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</row>
    <row r="166" spans="1:34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</row>
    <row r="167" spans="1:34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</row>
    <row r="168" spans="1:34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</row>
    <row r="169" spans="1:34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</row>
    <row r="170" spans="1:34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</row>
    <row r="171" spans="1:34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</row>
    <row r="172" spans="1:34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</row>
    <row r="173" spans="1:34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</row>
    <row r="174" spans="1:3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</row>
    <row r="175" spans="1:34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</row>
    <row r="176" spans="1:34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</row>
    <row r="177" spans="1:34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</row>
    <row r="178" spans="1:34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</row>
    <row r="179" spans="1:34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</row>
    <row r="180" spans="1:34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</row>
    <row r="181" spans="1:34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</row>
    <row r="182" spans="1:34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</row>
    <row r="183" spans="1:34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</row>
    <row r="184" spans="1:3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</row>
    <row r="185" spans="1:34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</row>
    <row r="186" spans="1:34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</row>
    <row r="187" spans="1:34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8" spans="1:34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</row>
    <row r="189" spans="1:34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</row>
    <row r="190" spans="1:34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</row>
    <row r="191" spans="1:34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</row>
    <row r="192" spans="1:34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  <row r="193" spans="1:34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</row>
    <row r="194" spans="1:3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</row>
    <row r="195" spans="1:34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</row>
    <row r="196" spans="1:34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</row>
    <row r="197" spans="1:34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</row>
    <row r="198" spans="1:34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</row>
    <row r="199" spans="1:34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</row>
    <row r="200" spans="1:34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</row>
    <row r="201" spans="1:34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</row>
    <row r="202" spans="1:34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</row>
    <row r="203" spans="1:34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</row>
    <row r="204" spans="1:34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</row>
    <row r="205" spans="1:34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</row>
    <row r="206" spans="1:34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</row>
    <row r="207" spans="1:34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</row>
    <row r="208" spans="1:3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</row>
    <row r="209" spans="1:34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</row>
    <row r="210" spans="1:34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</row>
    <row r="211" spans="1:34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</row>
    <row r="212" spans="1:34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</row>
    <row r="213" spans="1:34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</row>
    <row r="214" spans="1:34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</row>
    <row r="215" spans="1:34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</row>
    <row r="216" spans="1:34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</row>
    <row r="217" spans="1:34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</row>
    <row r="218" spans="1:34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</row>
    <row r="219" spans="1:34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</row>
    <row r="220" spans="1:34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</row>
    <row r="221" spans="1:34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</row>
    <row r="222" spans="1:34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</row>
    <row r="223" spans="1:34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</row>
    <row r="224" spans="1:34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</row>
    <row r="225" spans="1:34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</row>
    <row r="226" spans="1:34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</row>
    <row r="227" spans="1:34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</row>
    <row r="228" spans="1:34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</row>
    <row r="229" spans="1:34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</row>
    <row r="230" spans="1:34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</row>
    <row r="231" spans="1:34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</row>
    <row r="232" spans="1:34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</row>
    <row r="233" spans="1:34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</row>
    <row r="234" spans="1:34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</row>
    <row r="235" spans="1:34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</row>
    <row r="236" spans="1:34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</row>
    <row r="237" spans="1:34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</row>
    <row r="238" spans="1:34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</row>
    <row r="239" spans="1:34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</row>
    <row r="240" spans="1:34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</row>
    <row r="241" spans="1:34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</row>
    <row r="242" spans="1:34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</row>
    <row r="243" spans="1:34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</row>
    <row r="244" spans="1:34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</row>
    <row r="245" spans="1:34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</row>
    <row r="246" spans="1:34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</row>
    <row r="247" spans="1:34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</row>
    <row r="248" spans="1:34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</row>
    <row r="249" spans="1:34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</row>
    <row r="250" spans="1:34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</row>
    <row r="251" spans="1:34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</row>
    <row r="252" spans="1:34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</row>
    <row r="253" spans="1:34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</row>
    <row r="254" spans="1:34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</row>
    <row r="255" spans="1:34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</row>
    <row r="256" spans="1:34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</row>
    <row r="257" spans="1:34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</row>
    <row r="258" spans="1:34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</row>
    <row r="259" spans="1:34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</row>
    <row r="260" spans="1:34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</row>
    <row r="261" spans="1:34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</row>
    <row r="262" spans="1:34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</row>
    <row r="263" spans="1:34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</row>
    <row r="264" spans="1:34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</row>
    <row r="265" spans="1:34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</row>
    <row r="266" spans="1:34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</row>
    <row r="267" spans="1:34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</row>
    <row r="268" spans="1:34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</row>
    <row r="269" spans="1:34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</row>
    <row r="270" spans="1:34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</row>
    <row r="271" spans="1:34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</row>
    <row r="272" spans="1:34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</row>
    <row r="273" spans="1:34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</row>
    <row r="274" spans="1:34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</row>
    <row r="275" spans="1:34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</row>
    <row r="276" spans="1:34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</row>
    <row r="277" spans="1:34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</row>
    <row r="278" spans="1:34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</row>
    <row r="279" spans="1:34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</row>
    <row r="280" spans="1:34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</row>
    <row r="281" spans="1:34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</row>
    <row r="282" spans="1:34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</row>
    <row r="283" spans="1:34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</row>
    <row r="284" spans="1:34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</row>
    <row r="285" spans="1:34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</row>
    <row r="286" spans="1:34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</row>
    <row r="287" spans="1:34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</row>
    <row r="288" spans="1:34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</row>
    <row r="289" spans="1:34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</row>
    <row r="290" spans="1:34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</row>
    <row r="291" spans="1:34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</row>
    <row r="292" spans="1:34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</row>
    <row r="293" spans="1:34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</row>
    <row r="294" spans="1:34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</row>
    <row r="295" spans="1:34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</row>
    <row r="296" spans="1:34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</row>
    <row r="297" spans="1:34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</row>
    <row r="298" spans="1:34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</row>
    <row r="299" spans="1:34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</row>
    <row r="300" spans="1:34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</row>
    <row r="301" spans="1:34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</row>
    <row r="302" spans="1:34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</row>
    <row r="303" spans="1:34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</row>
    <row r="304" spans="1:3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</row>
    <row r="305" spans="1:34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</row>
    <row r="306" spans="1:34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</row>
    <row r="307" spans="1:34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</row>
    <row r="308" spans="1:34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</row>
    <row r="309" spans="1:34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</row>
    <row r="310" spans="1:34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</row>
    <row r="311" spans="1:34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</row>
    <row r="312" spans="1:34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</row>
    <row r="313" spans="1:34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</row>
    <row r="314" spans="1:3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</row>
    <row r="315" spans="1:34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</row>
    <row r="316" spans="1:34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</row>
    <row r="317" spans="1:34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</row>
    <row r="318" spans="1:34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</row>
    <row r="319" spans="1:34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</row>
    <row r="320" spans="1:34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</row>
    <row r="321" spans="1:34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</row>
    <row r="322" spans="1:34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</row>
    <row r="323" spans="1:34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</row>
    <row r="324" spans="1:3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</row>
    <row r="325" spans="1:34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</row>
    <row r="326" spans="1:34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</row>
    <row r="327" spans="1:34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</row>
    <row r="328" spans="1:34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</row>
    <row r="329" spans="1:34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</row>
    <row r="330" spans="1:34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</row>
    <row r="331" spans="1:34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</row>
    <row r="332" spans="1:34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</row>
    <row r="333" spans="1:34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</row>
    <row r="334" spans="1: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</row>
    <row r="335" spans="1:34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</row>
    <row r="336" spans="1:34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</row>
    <row r="337" spans="1:34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</row>
    <row r="338" spans="1:34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</row>
    <row r="339" spans="1:34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</row>
    <row r="340" spans="1:34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</row>
    <row r="341" spans="1:34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</row>
    <row r="342" spans="1:34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</row>
    <row r="343" spans="1:34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</row>
    <row r="344" spans="1:3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</row>
    <row r="345" spans="1:34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</row>
    <row r="346" spans="1:34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</row>
    <row r="347" spans="1:34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</row>
    <row r="348" spans="1:34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</row>
    <row r="349" spans="1:34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</row>
    <row r="350" spans="1:34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</row>
    <row r="351" spans="1:34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</row>
    <row r="352" spans="1:34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</row>
    <row r="353" spans="1:34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</row>
    <row r="354" spans="1:3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</row>
    <row r="355" spans="1:34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</row>
    <row r="356" spans="1:34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</row>
    <row r="357" spans="1:34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</row>
    <row r="358" spans="1:34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</row>
    <row r="359" spans="1:34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</row>
    <row r="360" spans="1:34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</row>
    <row r="361" spans="1:34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</row>
    <row r="362" spans="1:34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</row>
    <row r="363" spans="1:34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</row>
    <row r="364" spans="1:3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</row>
    <row r="365" spans="1:34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</row>
    <row r="366" spans="1:34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</row>
    <row r="367" spans="1:34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</row>
    <row r="368" spans="1:34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</row>
    <row r="369" spans="1:34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</row>
    <row r="370" spans="1:34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</row>
    <row r="371" spans="1:34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</row>
    <row r="372" spans="1:34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</row>
    <row r="373" spans="1:34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</row>
    <row r="374" spans="1:3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</row>
    <row r="375" spans="1:34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</row>
    <row r="376" spans="1:34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</row>
    <row r="377" spans="1:34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</row>
    <row r="378" spans="1:34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</row>
    <row r="379" spans="1:34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</row>
    <row r="380" spans="1:34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</row>
    <row r="381" spans="1:34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</row>
    <row r="382" spans="1:34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</row>
    <row r="383" spans="1:34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</row>
    <row r="384" spans="1:3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</row>
    <row r="385" spans="1:34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</row>
    <row r="386" spans="1:34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</row>
    <row r="387" spans="1:34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</row>
    <row r="388" spans="1:34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</row>
    <row r="389" spans="1:34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</row>
    <row r="390" spans="1:34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</row>
    <row r="391" spans="1:34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</row>
    <row r="392" spans="1:34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</row>
    <row r="393" spans="1:34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</row>
    <row r="394" spans="1:3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</row>
    <row r="395" spans="1:34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</row>
    <row r="396" spans="1:34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</row>
    <row r="397" spans="1:34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</row>
    <row r="398" spans="1:34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</row>
    <row r="399" spans="1:34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</row>
    <row r="400" spans="1:34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</row>
    <row r="401" spans="1:34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</row>
    <row r="402" spans="1:34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</row>
    <row r="403" spans="1:34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</row>
    <row r="404" spans="1:3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</row>
    <row r="405" spans="1:34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</row>
    <row r="406" spans="1:34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</row>
    <row r="407" spans="1:34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</row>
    <row r="408" spans="1:34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</row>
    <row r="409" spans="1:34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</row>
    <row r="410" spans="1:34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</row>
    <row r="411" spans="1:34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</row>
    <row r="412" spans="1:34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</row>
    <row r="413" spans="1:34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</row>
    <row r="414" spans="1:3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</row>
    <row r="415" spans="1:34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</row>
    <row r="416" spans="1:34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</row>
    <row r="417" spans="1:34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</row>
    <row r="418" spans="1:34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</row>
    <row r="419" spans="1:34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</row>
    <row r="420" spans="1:34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</row>
    <row r="421" spans="1:34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</row>
    <row r="422" spans="1:34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</row>
    <row r="423" spans="1:34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</row>
    <row r="424" spans="1:3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</row>
    <row r="425" spans="1:34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</row>
    <row r="426" spans="1:34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</row>
    <row r="427" spans="1:34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</row>
    <row r="428" spans="1:34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</row>
    <row r="429" spans="1:34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</row>
    <row r="430" spans="1:34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</row>
    <row r="431" spans="1:34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</row>
    <row r="432" spans="1:34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</row>
    <row r="433" spans="1:34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</row>
    <row r="434" spans="1: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</row>
    <row r="435" spans="1:34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</row>
    <row r="436" spans="1:34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</row>
    <row r="437" spans="1:34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</row>
    <row r="438" spans="1:34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</row>
    <row r="439" spans="1:34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</row>
    <row r="440" spans="1:34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</row>
    <row r="441" spans="1:34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</row>
    <row r="442" spans="1:34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</row>
    <row r="443" spans="1:34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</row>
    <row r="444" spans="1:3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</row>
    <row r="445" spans="1:34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</row>
    <row r="446" spans="1:34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</row>
    <row r="447" spans="1:34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</row>
    <row r="448" spans="1:34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</row>
    <row r="449" spans="1:34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</row>
    <row r="450" spans="1:34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</row>
    <row r="451" spans="1:34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</row>
    <row r="452" spans="1:34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</row>
    <row r="453" spans="1:34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</row>
    <row r="454" spans="1:3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</row>
    <row r="455" spans="1:34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</row>
    <row r="456" spans="1:34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</row>
    <row r="457" spans="1:34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</row>
    <row r="458" spans="1:34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</row>
    <row r="459" spans="1:34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</row>
    <row r="460" spans="1:34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</row>
    <row r="461" spans="1:34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</row>
    <row r="462" spans="1:34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</row>
    <row r="463" spans="1:34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</row>
    <row r="464" spans="1:3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</row>
    <row r="465" spans="1:34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</row>
    <row r="466" spans="1:34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</row>
    <row r="467" spans="1:34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</row>
    <row r="468" spans="1:34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</row>
    <row r="469" spans="1:34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</row>
    <row r="470" spans="1:34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</row>
    <row r="471" spans="1:34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</row>
    <row r="472" spans="1:34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</row>
    <row r="473" spans="1:34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</row>
    <row r="474" spans="1:3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</row>
    <row r="475" spans="1:34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</row>
    <row r="476" spans="1:34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</row>
    <row r="477" spans="1:34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</row>
    <row r="478" spans="1:34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</row>
    <row r="479" spans="1:34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</row>
    <row r="480" spans="1:34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</row>
    <row r="481" spans="1:34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</row>
    <row r="482" spans="1:34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</row>
    <row r="483" spans="1:34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</row>
    <row r="484" spans="1:3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</row>
    <row r="485" spans="1:34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</row>
    <row r="486" spans="1:34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</row>
    <row r="487" spans="1:34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</row>
    <row r="488" spans="1:34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</row>
    <row r="489" spans="1:34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</row>
    <row r="490" spans="1:34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</row>
    <row r="491" spans="1:34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</row>
    <row r="492" spans="1:34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</row>
    <row r="493" spans="1:34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</row>
    <row r="494" spans="1:3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</row>
    <row r="495" spans="1:34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</row>
    <row r="496" spans="1:34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</row>
    <row r="497" spans="1:34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</row>
    <row r="498" spans="1:34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</row>
    <row r="499" spans="1:34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</row>
    <row r="500" spans="1:34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</row>
    <row r="501" spans="1:34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</row>
    <row r="502" spans="1:34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</row>
    <row r="503" spans="1:34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</row>
    <row r="504" spans="1:3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</row>
    <row r="505" spans="1:34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</row>
    <row r="506" spans="1:34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</row>
    <row r="507" spans="1:34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</row>
    <row r="508" spans="1:34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</row>
    <row r="509" spans="1:34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</row>
    <row r="510" spans="1:34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</row>
    <row r="511" spans="1:34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</row>
    <row r="512" spans="1:34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</row>
    <row r="513" spans="1:34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</row>
    <row r="514" spans="1:3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</row>
    <row r="515" spans="1:34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</row>
    <row r="516" spans="1:34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</row>
    <row r="517" spans="1:34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</row>
    <row r="518" spans="1:34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</row>
    <row r="519" spans="1:34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</row>
    <row r="520" spans="1:34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</row>
    <row r="521" spans="1:34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</row>
    <row r="522" spans="1:34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</row>
    <row r="523" spans="1:34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</row>
    <row r="524" spans="1:3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</row>
    <row r="525" spans="1:34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</row>
    <row r="526" spans="1:34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</row>
    <row r="527" spans="1:34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</row>
    <row r="528" spans="1:34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</row>
    <row r="529" spans="1:34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</row>
    <row r="530" spans="1:34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</row>
    <row r="531" spans="1:34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</row>
    <row r="532" spans="1:34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</row>
    <row r="533" spans="1:34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</row>
    <row r="534" spans="1: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</row>
    <row r="535" spans="1:34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</row>
    <row r="536" spans="1:34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</row>
    <row r="537" spans="1:34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</row>
    <row r="538" spans="1:34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</row>
    <row r="539" spans="1:34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</row>
    <row r="540" spans="1:34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</row>
    <row r="541" spans="1:34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</row>
    <row r="542" spans="1:34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</row>
    <row r="543" spans="1:34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</row>
    <row r="544" spans="1:3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</row>
    <row r="545" spans="1:34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</row>
    <row r="546" spans="1:34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</row>
    <row r="547" spans="1:34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</row>
    <row r="548" spans="1:34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</row>
    <row r="549" spans="1:34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</row>
    <row r="550" spans="1:34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</row>
    <row r="551" spans="1:34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</row>
    <row r="552" spans="1:34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</row>
    <row r="553" spans="1:34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</row>
    <row r="554" spans="1:3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</row>
    <row r="555" spans="1:34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</row>
    <row r="556" spans="1:34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</row>
    <row r="557" spans="1:34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</row>
    <row r="558" spans="1:34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</row>
    <row r="559" spans="1:34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</row>
    <row r="560" spans="1:34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</row>
    <row r="561" spans="1:34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</row>
    <row r="562" spans="1:34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</row>
    <row r="563" spans="1:34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</row>
    <row r="564" spans="1:3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</row>
    <row r="565" spans="1:34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</row>
    <row r="566" spans="1:34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</row>
    <row r="567" spans="1:34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</row>
    <row r="568" spans="1:34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</row>
    <row r="569" spans="1:34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</row>
    <row r="570" spans="1:34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</row>
    <row r="571" spans="1:34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</row>
    <row r="572" spans="1:34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</row>
    <row r="573" spans="1:34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</row>
    <row r="574" spans="1:3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</row>
    <row r="575" spans="1:34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</row>
    <row r="576" spans="1:34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</row>
    <row r="577" spans="1:34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</row>
    <row r="578" spans="1:34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</row>
    <row r="579" spans="1:34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</row>
    <row r="580" spans="1:34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</row>
    <row r="581" spans="1:34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</row>
    <row r="582" spans="1:34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</row>
    <row r="583" spans="1:34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</row>
    <row r="584" spans="1:3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</row>
    <row r="585" spans="1:34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</row>
    <row r="586" spans="1:34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</row>
    <row r="587" spans="1:34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</row>
    <row r="588" spans="1:34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</row>
    <row r="589" spans="1:34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</row>
    <row r="590" spans="1:34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</row>
    <row r="591" spans="1:34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</row>
    <row r="592" spans="1:34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</row>
    <row r="593" spans="1:34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</row>
    <row r="594" spans="1:3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</row>
    <row r="595" spans="1:34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</row>
    <row r="596" spans="1:34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</row>
    <row r="597" spans="1:34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</row>
    <row r="598" spans="1:34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</row>
    <row r="599" spans="1:34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</row>
    <row r="600" spans="1:34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</row>
    <row r="601" spans="1:34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</row>
    <row r="602" spans="1:34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</row>
    <row r="603" spans="1:34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</row>
    <row r="604" spans="1:3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</row>
    <row r="605" spans="1:34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</row>
    <row r="606" spans="1:34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</row>
    <row r="607" spans="1:34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</row>
    <row r="608" spans="1:34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</row>
    <row r="609" spans="1:34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</row>
    <row r="610" spans="1:34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</row>
    <row r="611" spans="1:34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</row>
    <row r="612" spans="1:34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</row>
    <row r="613" spans="1:34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</row>
    <row r="614" spans="1:3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</row>
    <row r="615" spans="1:34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</row>
    <row r="616" spans="1:34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</row>
    <row r="617" spans="1:34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</row>
    <row r="618" spans="1:34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</row>
    <row r="619" spans="1:34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</row>
    <row r="620" spans="1:34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</row>
    <row r="621" spans="1:34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</row>
    <row r="622" spans="1:34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</row>
    <row r="623" spans="1:34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</row>
    <row r="624" spans="1:3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</row>
    <row r="625" spans="1:34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</row>
    <row r="626" spans="1:34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</row>
    <row r="627" spans="1:34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</row>
    <row r="628" spans="1:34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</row>
    <row r="629" spans="1:34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</row>
    <row r="630" spans="1:34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</row>
    <row r="631" spans="1:34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</row>
    <row r="632" spans="1:34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</row>
    <row r="633" spans="1:34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</row>
    <row r="634" spans="1: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</row>
    <row r="635" spans="1:34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</row>
    <row r="636" spans="1:34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</row>
    <row r="637" spans="1:34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</row>
    <row r="638" spans="1:34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</row>
    <row r="639" spans="1:34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</row>
    <row r="640" spans="1:34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</row>
    <row r="641" spans="1:34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</row>
    <row r="642" spans="1:34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</row>
    <row r="643" spans="1:34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</row>
    <row r="644" spans="1:3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</row>
    <row r="645" spans="1:34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</row>
    <row r="646" spans="1:34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</row>
    <row r="647" spans="1:34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</row>
    <row r="648" spans="1:34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</row>
    <row r="649" spans="1:34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</row>
    <row r="650" spans="1:34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</row>
    <row r="651" spans="1:34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</row>
    <row r="652" spans="1:34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</row>
    <row r="653" spans="1:34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</row>
    <row r="654" spans="1:3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</row>
    <row r="655" spans="1:34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</row>
    <row r="656" spans="1:34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</row>
    <row r="657" spans="1:34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</row>
    <row r="658" spans="1:34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</row>
    <row r="659" spans="1:34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</row>
    <row r="660" spans="1:34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</row>
    <row r="661" spans="1:34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</row>
    <row r="662" spans="1:34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</row>
    <row r="663" spans="1:34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</row>
    <row r="664" spans="1:3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</row>
    <row r="665" spans="1:34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</row>
    <row r="666" spans="1:34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</row>
    <row r="667" spans="1:34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</row>
    <row r="668" spans="1:34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</row>
    <row r="669" spans="1:34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</row>
    <row r="670" spans="1:34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</row>
    <row r="671" spans="1:34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</row>
    <row r="672" spans="1:34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</row>
    <row r="673" spans="1:34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</row>
    <row r="674" spans="1:3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</row>
    <row r="675" spans="1:34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</row>
    <row r="676" spans="1:34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</row>
    <row r="677" spans="1:34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</row>
    <row r="678" spans="1:34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</row>
    <row r="679" spans="1:34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</row>
    <row r="680" spans="1:34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</row>
    <row r="681" spans="1:34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</row>
    <row r="682" spans="1:34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</row>
    <row r="683" spans="1:34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</row>
    <row r="684" spans="1:3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</row>
    <row r="685" spans="1:34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</row>
    <row r="686" spans="1:34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</row>
    <row r="687" spans="1:34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</row>
    <row r="688" spans="1:34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</row>
    <row r="689" spans="1:34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</row>
    <row r="690" spans="1:34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</row>
    <row r="691" spans="1:34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</row>
    <row r="692" spans="1:34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</row>
    <row r="693" spans="1:34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</row>
    <row r="694" spans="1:3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</row>
    <row r="695" spans="1:34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</row>
    <row r="696" spans="1:34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</row>
    <row r="697" spans="1:34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</row>
    <row r="698" spans="1:34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</row>
    <row r="699" spans="1:34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</row>
    <row r="700" spans="1:34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</row>
    <row r="701" spans="1:34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</row>
    <row r="702" spans="1:34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</row>
    <row r="703" spans="1:34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</row>
    <row r="704" spans="1:3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</row>
    <row r="705" spans="1:34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</row>
    <row r="706" spans="1:34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</row>
    <row r="707" spans="1:34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</row>
    <row r="708" spans="1:34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</row>
    <row r="709" spans="1:34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</row>
    <row r="710" spans="1:34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</row>
    <row r="711" spans="1:34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</row>
    <row r="712" spans="1:34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</row>
    <row r="713" spans="1:34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</row>
    <row r="714" spans="1:3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</row>
    <row r="715" spans="1:34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</row>
    <row r="716" spans="1:34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</row>
    <row r="717" spans="1:34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</row>
    <row r="718" spans="1:34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</row>
    <row r="719" spans="1:34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</row>
    <row r="720" spans="1:34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</row>
    <row r="721" spans="1:34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</row>
    <row r="722" spans="1:34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</row>
    <row r="723" spans="1:34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</row>
    <row r="724" spans="1:3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</row>
    <row r="725" spans="1:34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</row>
    <row r="726" spans="1:34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</row>
    <row r="727" spans="1:34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</row>
    <row r="728" spans="1:34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</row>
    <row r="729" spans="1:34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</row>
    <row r="730" spans="1:34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</row>
    <row r="731" spans="1:34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</row>
    <row r="732" spans="1:34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</row>
    <row r="733" spans="1:34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</row>
    <row r="734" spans="1: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</row>
    <row r="735" spans="1:34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</row>
    <row r="736" spans="1:34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</row>
    <row r="737" spans="1:34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</row>
    <row r="738" spans="1:34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</row>
    <row r="739" spans="1:34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</row>
    <row r="740" spans="1:34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</row>
    <row r="741" spans="1:34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</row>
    <row r="742" spans="1:34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</row>
    <row r="743" spans="1:34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</row>
    <row r="744" spans="1:3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</row>
    <row r="745" spans="1:34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</row>
    <row r="746" spans="1:34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</row>
    <row r="747" spans="1:34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</row>
    <row r="748" spans="1:34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</row>
    <row r="749" spans="1:34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</row>
    <row r="750" spans="1:34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</row>
    <row r="751" spans="1:34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</row>
    <row r="752" spans="1:34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</row>
    <row r="753" spans="1:34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</row>
    <row r="754" spans="1:3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</row>
    <row r="755" spans="1:34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</row>
    <row r="756" spans="1:34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</row>
    <row r="757" spans="1:34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</row>
    <row r="758" spans="1:34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</row>
    <row r="759" spans="1:34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</row>
    <row r="760" spans="1:34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</row>
    <row r="761" spans="1:34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</row>
    <row r="762" spans="1:34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</row>
    <row r="763" spans="1:34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</row>
    <row r="764" spans="1:3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</row>
    <row r="765" spans="1:34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</row>
    <row r="766" spans="1:34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</row>
    <row r="767" spans="1:34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</row>
    <row r="768" spans="1:34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</row>
    <row r="769" spans="1:34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</row>
    <row r="770" spans="1:34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</row>
    <row r="771" spans="1:34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</row>
    <row r="772" spans="1:34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</row>
    <row r="773" spans="1:34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</row>
    <row r="774" spans="1:3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</row>
    <row r="775" spans="1:34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</row>
    <row r="776" spans="1:34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</row>
    <row r="777" spans="1:34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</row>
    <row r="778" spans="1:34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</row>
    <row r="779" spans="1:34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</row>
    <row r="780" spans="1:34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</row>
    <row r="781" spans="1:34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</row>
    <row r="782" spans="1:34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</row>
    <row r="783" spans="1:34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</row>
    <row r="784" spans="1:3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</row>
    <row r="785" spans="1:34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</row>
    <row r="786" spans="1:34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</row>
    <row r="787" spans="1:34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</row>
    <row r="788" spans="1:34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</row>
    <row r="789" spans="1:34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</row>
    <row r="790" spans="1:34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</row>
    <row r="791" spans="1:34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</row>
    <row r="792" spans="1:34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</row>
    <row r="793" spans="1:34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</row>
    <row r="794" spans="1:3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</row>
    <row r="795" spans="1:34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</row>
    <row r="796" spans="1:34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</row>
    <row r="797" spans="1:34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</row>
    <row r="798" spans="1:34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</row>
    <row r="799" spans="1:34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</row>
    <row r="800" spans="1:34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</row>
    <row r="801" spans="1:34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</row>
    <row r="802" spans="1:34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</row>
    <row r="803" spans="1:34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</row>
    <row r="804" spans="1:3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</row>
    <row r="805" spans="1:34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</row>
    <row r="806" spans="1:34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</row>
    <row r="807" spans="1:34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</row>
    <row r="808" spans="1:34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</row>
    <row r="809" spans="1:34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</row>
    <row r="810" spans="1:34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</row>
    <row r="811" spans="1:34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</row>
    <row r="812" spans="1:34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</row>
    <row r="813" spans="1:34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</row>
    <row r="814" spans="1:3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</row>
    <row r="815" spans="1:34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</row>
    <row r="816" spans="1:34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</row>
    <row r="817" spans="1:34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</row>
    <row r="818" spans="1:34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</row>
    <row r="819" spans="1:34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</row>
    <row r="820" spans="1:34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</row>
    <row r="821" spans="1:34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</row>
    <row r="822" spans="1:34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</row>
    <row r="823" spans="1:34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</row>
    <row r="824" spans="1:3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</row>
    <row r="825" spans="1:34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</row>
    <row r="826" spans="1:34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</row>
    <row r="827" spans="1:34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</row>
    <row r="828" spans="1:34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</row>
    <row r="829" spans="1:34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</row>
    <row r="830" spans="1:34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</row>
    <row r="831" spans="1:34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</row>
    <row r="832" spans="1:34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</row>
    <row r="833" spans="1:34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</row>
    <row r="834" spans="1: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</row>
    <row r="835" spans="1:34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</row>
    <row r="836" spans="1:34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</row>
    <row r="837" spans="1:34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</row>
    <row r="838" spans="1:34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</row>
    <row r="839" spans="1:34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</row>
    <row r="840" spans="1:34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</row>
    <row r="841" spans="1:34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</row>
    <row r="842" spans="1:34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</row>
    <row r="843" spans="1:34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</row>
    <row r="844" spans="1:3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</row>
    <row r="845" spans="1:34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</row>
    <row r="846" spans="1:34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</row>
    <row r="847" spans="1:34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</row>
    <row r="848" spans="1:34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</row>
    <row r="849" spans="1:34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</row>
    <row r="850" spans="1:34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</row>
    <row r="851" spans="1:34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</row>
    <row r="852" spans="1:34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</row>
    <row r="853" spans="1:34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</row>
    <row r="854" spans="1:3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</row>
    <row r="855" spans="1:34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</row>
    <row r="856" spans="1:34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</row>
    <row r="857" spans="1:34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</row>
    <row r="858" spans="1:34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</row>
    <row r="859" spans="1:34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</row>
    <row r="860" spans="1:34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</row>
    <row r="861" spans="1:34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</row>
    <row r="862" spans="1:34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</row>
    <row r="863" spans="1:34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</row>
    <row r="864" spans="1:3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</row>
    <row r="865" spans="1:34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</row>
    <row r="866" spans="1:34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</row>
    <row r="867" spans="1:34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</row>
    <row r="868" spans="1:34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</row>
    <row r="869" spans="1:34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</row>
    <row r="870" spans="1:34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</row>
    <row r="871" spans="1:34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</row>
    <row r="872" spans="1:34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</row>
    <row r="873" spans="1:34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</row>
    <row r="874" spans="1:3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</row>
    <row r="875" spans="1:34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</row>
    <row r="876" spans="1:34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</row>
    <row r="877" spans="1:34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</row>
    <row r="878" spans="1:34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</row>
    <row r="879" spans="1:34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</row>
    <row r="880" spans="1:34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</row>
    <row r="881" spans="1:34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</row>
    <row r="882" spans="1:34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</row>
    <row r="883" spans="1:34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</row>
    <row r="884" spans="1:3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</row>
    <row r="885" spans="1:34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</row>
    <row r="886" spans="1:34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</row>
    <row r="887" spans="1:34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</row>
    <row r="888" spans="1:34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</row>
    <row r="889" spans="1:34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</row>
    <row r="890" spans="1:34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</row>
    <row r="891" spans="1:34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</row>
    <row r="892" spans="1:34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</row>
    <row r="893" spans="1:34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</row>
    <row r="894" spans="1:3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</row>
    <row r="895" spans="1:34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</row>
    <row r="896" spans="1:34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</row>
    <row r="897" spans="1:34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</row>
    <row r="898" spans="1:34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</row>
    <row r="899" spans="1:34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</row>
    <row r="900" spans="1:34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</row>
    <row r="901" spans="1:34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</row>
    <row r="902" spans="1:34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</row>
    <row r="903" spans="1:34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</row>
    <row r="904" spans="1:3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</row>
    <row r="905" spans="1:34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</row>
    <row r="906" spans="1:34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</row>
    <row r="907" spans="1:34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</row>
    <row r="908" spans="1:34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</row>
    <row r="909" spans="1:34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</row>
    <row r="910" spans="1:34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</row>
    <row r="911" spans="1:34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</row>
    <row r="912" spans="1:34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</row>
    <row r="913" spans="1:34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</row>
    <row r="914" spans="1:3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</row>
    <row r="915" spans="1:34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</row>
    <row r="916" spans="1:34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</row>
    <row r="917" spans="1:34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</row>
    <row r="918" spans="1:34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</row>
    <row r="919" spans="1:34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</row>
    <row r="920" spans="1:34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</row>
    <row r="921" spans="1:34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</row>
    <row r="922" spans="1:34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</row>
    <row r="923" spans="1:34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</row>
    <row r="924" spans="1:3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</row>
    <row r="925" spans="1:34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</row>
    <row r="926" spans="1:34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</row>
    <row r="927" spans="1:34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</row>
    <row r="928" spans="1:34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</row>
    <row r="929" spans="1:34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</row>
    <row r="930" spans="1:34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</row>
    <row r="931" spans="1:34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</row>
    <row r="932" spans="1:34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</row>
    <row r="933" spans="1:34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</row>
    <row r="934" spans="1: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</row>
    <row r="935" spans="1:34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</row>
    <row r="936" spans="1:34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</row>
    <row r="937" spans="1:34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</row>
    <row r="938" spans="1:34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</row>
    <row r="939" spans="1:34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</row>
    <row r="940" spans="1:34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</row>
    <row r="941" spans="1:34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</row>
    <row r="942" spans="1:34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</row>
    <row r="943" spans="1:34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</row>
    <row r="944" spans="1:3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</row>
    <row r="945" spans="1:34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</row>
    <row r="946" spans="1:34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</row>
    <row r="947" spans="1:34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</row>
    <row r="948" spans="1:34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</row>
    <row r="949" spans="1:34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</row>
    <row r="950" spans="1:34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</row>
    <row r="951" spans="1:34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</row>
    <row r="952" spans="1:34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</row>
    <row r="953" spans="1:34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</row>
    <row r="954" spans="1:3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</row>
    <row r="955" spans="1:34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</row>
    <row r="956" spans="1:34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</row>
    <row r="957" spans="1:34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</row>
    <row r="958" spans="1:34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</row>
    <row r="959" spans="1:34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</row>
    <row r="960" spans="1:34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</row>
    <row r="961" spans="1:34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</row>
    <row r="962" spans="1:34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</row>
    <row r="963" spans="1:34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</row>
    <row r="964" spans="1:3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</row>
    <row r="965" spans="1:34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</row>
    <row r="966" spans="1:34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</row>
    <row r="967" spans="1:34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</row>
    <row r="968" spans="1:34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</row>
    <row r="969" spans="1:34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</row>
    <row r="970" spans="1:34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</row>
    <row r="971" spans="1:34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</row>
    <row r="972" spans="1:34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</row>
    <row r="973" spans="1:34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</row>
    <row r="974" spans="1:3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</row>
    <row r="975" spans="1:34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</row>
    <row r="976" spans="1:34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</row>
    <row r="977" spans="1:34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</row>
    <row r="978" spans="1:34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</row>
    <row r="979" spans="1:34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</row>
    <row r="980" spans="1:34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</row>
    <row r="981" spans="1:34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</row>
    <row r="982" spans="1:34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</row>
    <row r="983" spans="1:34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</row>
    <row r="984" spans="1:3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</row>
    <row r="985" spans="1:34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</row>
    <row r="986" spans="1:34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</row>
    <row r="987" spans="1:34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</row>
    <row r="988" spans="1:34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</row>
    <row r="989" spans="1:34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</row>
    <row r="990" spans="1:34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</row>
    <row r="991" spans="1:34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</row>
    <row r="992" spans="1:34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</row>
    <row r="993" spans="1:34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</row>
    <row r="994" spans="1:3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</row>
    <row r="995" spans="1:34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</row>
    <row r="996" spans="1:34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</row>
    <row r="997" spans="1:34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</row>
    <row r="998" spans="1:34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</row>
    <row r="999" spans="1:34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</row>
    <row r="1000" spans="1:34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</row>
  </sheetData>
  <mergeCells count="3">
    <mergeCell ref="A1:P1"/>
    <mergeCell ref="A3:C3"/>
    <mergeCell ref="A4:C4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86"/>
  <sheetViews>
    <sheetView workbookViewId="0"/>
  </sheetViews>
  <sheetFormatPr defaultColWidth="14.42578125" defaultRowHeight="15" customHeight="1"/>
  <cols>
    <col min="1" max="1" width="17.5703125" customWidth="1"/>
    <col min="2" max="2" width="9.5703125" customWidth="1"/>
    <col min="3" max="3" width="8.28515625" customWidth="1"/>
    <col min="4" max="19" width="10.7109375" customWidth="1"/>
  </cols>
  <sheetData>
    <row r="1" spans="1:26">
      <c r="A1" s="20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9"/>
      <c r="R1" s="9"/>
      <c r="S1" s="9"/>
      <c r="T1" s="10"/>
      <c r="U1" s="10"/>
      <c r="V1" s="10"/>
      <c r="W1" s="10"/>
      <c r="X1" s="10"/>
      <c r="Y1" s="10"/>
      <c r="Z1" s="10"/>
    </row>
    <row r="2" spans="1:26">
      <c r="A2" s="147"/>
      <c r="B2" s="148"/>
      <c r="C2" s="148"/>
      <c r="D2" s="147"/>
      <c r="E2" s="148"/>
      <c r="F2" s="148"/>
      <c r="G2" s="148"/>
      <c r="H2" s="147"/>
      <c r="I2" s="148"/>
      <c r="J2" s="148"/>
      <c r="K2" s="148"/>
      <c r="L2" s="147"/>
      <c r="M2" s="148"/>
      <c r="N2" s="148"/>
      <c r="O2" s="148"/>
      <c r="P2" s="147"/>
      <c r="Q2" s="148"/>
      <c r="R2" s="148"/>
      <c r="S2" s="9"/>
      <c r="T2" s="10"/>
      <c r="U2" s="10"/>
      <c r="V2" s="10"/>
      <c r="W2" s="10"/>
      <c r="X2" s="10"/>
      <c r="Y2" s="10"/>
      <c r="Z2" s="10"/>
    </row>
    <row r="3" spans="1:26">
      <c r="A3" s="199" t="s">
        <v>1</v>
      </c>
      <c r="B3" s="200"/>
      <c r="C3" s="201"/>
      <c r="D3" s="13"/>
      <c r="E3" s="14"/>
      <c r="F3" s="14"/>
      <c r="G3" s="14"/>
      <c r="H3" s="14"/>
      <c r="I3" s="14"/>
      <c r="J3" s="14"/>
      <c r="K3" s="15"/>
      <c r="L3" s="15"/>
      <c r="M3" s="15"/>
      <c r="N3" s="15"/>
      <c r="O3" s="15"/>
      <c r="P3" s="15"/>
      <c r="Q3" s="15"/>
      <c r="R3" s="15"/>
      <c r="S3" s="16"/>
      <c r="T3" s="73"/>
      <c r="U3" s="10"/>
      <c r="V3" s="10"/>
      <c r="W3" s="10"/>
      <c r="X3" s="10"/>
      <c r="Y3" s="10"/>
      <c r="Z3" s="10"/>
    </row>
    <row r="4" spans="1:26">
      <c r="A4" s="202" t="s">
        <v>2</v>
      </c>
      <c r="B4" s="200"/>
      <c r="C4" s="201"/>
      <c r="D4" s="17"/>
      <c r="E4" s="18"/>
      <c r="F4" s="18"/>
      <c r="G4" s="17"/>
      <c r="H4" s="18"/>
      <c r="I4" s="18"/>
      <c r="J4" s="18"/>
      <c r="K4" s="9"/>
      <c r="L4" s="9"/>
      <c r="M4" s="9"/>
      <c r="N4" s="9"/>
      <c r="O4" s="9"/>
      <c r="P4" s="9"/>
      <c r="Q4" s="9"/>
      <c r="R4" s="9"/>
      <c r="S4" s="9"/>
      <c r="T4" s="74"/>
      <c r="U4" s="10"/>
      <c r="V4" s="10"/>
      <c r="W4" s="10"/>
      <c r="X4" s="10"/>
      <c r="Y4" s="10"/>
      <c r="Z4" s="10"/>
    </row>
    <row r="5" spans="1:26" ht="17.25" customHeight="1">
      <c r="A5" s="209" t="s">
        <v>35</v>
      </c>
      <c r="B5" s="200"/>
      <c r="C5" s="201"/>
      <c r="D5" s="22" t="s">
        <v>18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43"/>
      <c r="U5" s="10"/>
      <c r="V5" s="10"/>
      <c r="W5" s="10"/>
      <c r="X5" s="10"/>
      <c r="Y5" s="10"/>
      <c r="Z5" s="10"/>
    </row>
    <row r="6" spans="1:26" ht="28.5">
      <c r="A6" s="26" t="s">
        <v>3</v>
      </c>
      <c r="B6" s="27" t="s">
        <v>4</v>
      </c>
      <c r="C6" s="75" t="s">
        <v>5</v>
      </c>
      <c r="D6" s="29">
        <v>0</v>
      </c>
      <c r="E6" s="29">
        <v>1</v>
      </c>
      <c r="F6" s="29">
        <v>2</v>
      </c>
      <c r="G6" s="29">
        <v>3</v>
      </c>
      <c r="H6" s="29">
        <v>4</v>
      </c>
      <c r="I6" s="29">
        <v>5</v>
      </c>
      <c r="J6" s="29">
        <v>6</v>
      </c>
      <c r="K6" s="29">
        <v>7</v>
      </c>
      <c r="L6" s="29">
        <v>8</v>
      </c>
      <c r="M6" s="29">
        <v>9</v>
      </c>
      <c r="N6" s="29">
        <v>10</v>
      </c>
      <c r="O6" s="29">
        <v>11</v>
      </c>
      <c r="P6" s="29">
        <v>12</v>
      </c>
      <c r="Q6" s="29">
        <v>13</v>
      </c>
      <c r="R6" s="29">
        <v>14</v>
      </c>
      <c r="S6" s="29">
        <v>15</v>
      </c>
      <c r="T6" s="76"/>
      <c r="U6" s="10"/>
      <c r="V6" s="10"/>
      <c r="W6" s="10"/>
      <c r="X6" s="10"/>
      <c r="Y6" s="10"/>
      <c r="Z6" s="10"/>
    </row>
    <row r="7" spans="1:26" ht="18.75" customHeight="1">
      <c r="A7" s="77" t="s">
        <v>35</v>
      </c>
      <c r="B7" s="146">
        <v>7.5</v>
      </c>
      <c r="C7" s="79" t="s">
        <v>8</v>
      </c>
      <c r="D7" s="149">
        <f>25875*1.075</f>
        <v>27815.625</v>
      </c>
      <c r="E7" s="150">
        <v>28353</v>
      </c>
      <c r="F7" s="150">
        <v>28891</v>
      </c>
      <c r="G7" s="150">
        <v>29428</v>
      </c>
      <c r="H7" s="150">
        <v>29966</v>
      </c>
      <c r="I7" s="150">
        <v>30503</v>
      </c>
      <c r="J7" s="150">
        <v>31041</v>
      </c>
      <c r="K7" s="150">
        <v>31578</v>
      </c>
      <c r="L7" s="150">
        <v>32116</v>
      </c>
      <c r="M7" s="150">
        <v>32653</v>
      </c>
      <c r="N7" s="150">
        <v>33191</v>
      </c>
      <c r="O7" s="150">
        <v>33728</v>
      </c>
      <c r="P7" s="150">
        <v>34266</v>
      </c>
      <c r="Q7" s="150">
        <v>34803</v>
      </c>
      <c r="R7" s="150">
        <v>35341</v>
      </c>
      <c r="S7" s="149">
        <v>35878</v>
      </c>
      <c r="T7" s="73"/>
      <c r="U7" s="10"/>
      <c r="V7" s="10"/>
      <c r="W7" s="10"/>
      <c r="X7" s="10"/>
      <c r="Y7" s="10"/>
      <c r="Z7" s="10"/>
    </row>
    <row r="8" spans="1:26" ht="23.25" customHeight="1">
      <c r="A8" s="36" t="s">
        <v>14</v>
      </c>
      <c r="B8" s="37"/>
      <c r="C8" s="37"/>
      <c r="D8" s="38">
        <f t="shared" ref="D8:S8" si="0">D7/240</f>
        <v>115.8984375</v>
      </c>
      <c r="E8" s="39">
        <f t="shared" si="0"/>
        <v>118.1375</v>
      </c>
      <c r="F8" s="39">
        <f t="shared" si="0"/>
        <v>120.37916666666666</v>
      </c>
      <c r="G8" s="39">
        <f t="shared" si="0"/>
        <v>122.61666666666666</v>
      </c>
      <c r="H8" s="39">
        <f t="shared" si="0"/>
        <v>124.85833333333333</v>
      </c>
      <c r="I8" s="39">
        <f t="shared" si="0"/>
        <v>127.09583333333333</v>
      </c>
      <c r="J8" s="39">
        <f t="shared" si="0"/>
        <v>129.33750000000001</v>
      </c>
      <c r="K8" s="39">
        <f t="shared" si="0"/>
        <v>131.57499999999999</v>
      </c>
      <c r="L8" s="39">
        <f t="shared" si="0"/>
        <v>133.81666666666666</v>
      </c>
      <c r="M8" s="39">
        <f t="shared" si="0"/>
        <v>136.05416666666667</v>
      </c>
      <c r="N8" s="39">
        <f t="shared" si="0"/>
        <v>138.29583333333332</v>
      </c>
      <c r="O8" s="39">
        <f t="shared" si="0"/>
        <v>140.53333333333333</v>
      </c>
      <c r="P8" s="39">
        <f t="shared" si="0"/>
        <v>142.77500000000001</v>
      </c>
      <c r="Q8" s="39">
        <f t="shared" si="0"/>
        <v>145.01249999999999</v>
      </c>
      <c r="R8" s="39">
        <f t="shared" si="0"/>
        <v>147.25416666666666</v>
      </c>
      <c r="S8" s="39">
        <f t="shared" si="0"/>
        <v>149.49166666666667</v>
      </c>
      <c r="T8" s="73"/>
      <c r="U8" s="10"/>
      <c r="V8" s="10"/>
      <c r="W8" s="10"/>
      <c r="X8" s="10"/>
      <c r="Y8" s="10"/>
      <c r="Z8" s="10"/>
    </row>
    <row r="9" spans="1:26" ht="23.25" customHeight="1">
      <c r="A9" s="40" t="s">
        <v>15</v>
      </c>
      <c r="B9" s="37"/>
      <c r="C9" s="37"/>
      <c r="D9" s="41">
        <f t="shared" ref="D9:S9" si="1">D8/7.5</f>
        <v>15.453125</v>
      </c>
      <c r="E9" s="41">
        <f t="shared" si="1"/>
        <v>15.751666666666667</v>
      </c>
      <c r="F9" s="41">
        <f t="shared" si="1"/>
        <v>16.050555555555555</v>
      </c>
      <c r="G9" s="41">
        <f t="shared" si="1"/>
        <v>16.348888888888887</v>
      </c>
      <c r="H9" s="41">
        <f t="shared" si="1"/>
        <v>16.64777777777778</v>
      </c>
      <c r="I9" s="41">
        <f t="shared" si="1"/>
        <v>16.946111111111112</v>
      </c>
      <c r="J9" s="41">
        <f t="shared" si="1"/>
        <v>17.245000000000001</v>
      </c>
      <c r="K9" s="41">
        <f t="shared" si="1"/>
        <v>17.543333333333333</v>
      </c>
      <c r="L9" s="41">
        <f t="shared" si="1"/>
        <v>17.842222222222222</v>
      </c>
      <c r="M9" s="41">
        <f t="shared" si="1"/>
        <v>18.140555555555558</v>
      </c>
      <c r="N9" s="41">
        <f t="shared" si="1"/>
        <v>18.439444444444444</v>
      </c>
      <c r="O9" s="41">
        <f t="shared" si="1"/>
        <v>18.737777777777776</v>
      </c>
      <c r="P9" s="41">
        <f t="shared" si="1"/>
        <v>19.036666666666669</v>
      </c>
      <c r="Q9" s="41">
        <f t="shared" si="1"/>
        <v>19.334999999999997</v>
      </c>
      <c r="R9" s="41">
        <f t="shared" si="1"/>
        <v>19.633888888888887</v>
      </c>
      <c r="S9" s="41">
        <f t="shared" si="1"/>
        <v>19.932222222222222</v>
      </c>
      <c r="T9" s="73"/>
      <c r="U9" s="10"/>
      <c r="V9" s="10"/>
      <c r="W9" s="10"/>
      <c r="X9" s="10"/>
      <c r="Y9" s="10"/>
      <c r="Z9" s="10"/>
    </row>
    <row r="10" spans="1:26" ht="19.5" customHeight="1">
      <c r="A10" s="10"/>
      <c r="B10" s="10"/>
      <c r="C10" s="10"/>
      <c r="D10" s="22" t="s">
        <v>18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2"/>
      <c r="S10" s="43"/>
      <c r="T10" s="43"/>
      <c r="U10" s="10"/>
      <c r="V10" s="10"/>
      <c r="W10" s="10"/>
      <c r="X10" s="10"/>
      <c r="Y10" s="10"/>
      <c r="Z10" s="10"/>
    </row>
    <row r="11" spans="1:26">
      <c r="A11" s="44" t="s">
        <v>17</v>
      </c>
      <c r="B11" s="10"/>
      <c r="C11" s="10"/>
      <c r="D11" s="29">
        <v>16</v>
      </c>
      <c r="E11" s="29">
        <v>17</v>
      </c>
      <c r="F11" s="29">
        <v>18</v>
      </c>
      <c r="G11" s="29">
        <v>19</v>
      </c>
      <c r="H11" s="29">
        <v>20</v>
      </c>
      <c r="I11" s="29">
        <v>21</v>
      </c>
      <c r="J11" s="29">
        <v>22</v>
      </c>
      <c r="K11" s="29">
        <v>23</v>
      </c>
      <c r="L11" s="29">
        <v>24</v>
      </c>
      <c r="M11" s="29">
        <v>25</v>
      </c>
      <c r="N11" s="29">
        <v>26</v>
      </c>
      <c r="O11" s="29">
        <v>27</v>
      </c>
      <c r="P11" s="29">
        <v>28</v>
      </c>
      <c r="Q11" s="29">
        <v>29</v>
      </c>
      <c r="R11" s="29">
        <v>30</v>
      </c>
      <c r="S11" s="10"/>
      <c r="T11" s="73"/>
      <c r="U11" s="10"/>
      <c r="V11" s="10"/>
      <c r="W11" s="10"/>
      <c r="X11" s="10"/>
      <c r="Y11" s="10"/>
      <c r="Z11" s="10"/>
    </row>
    <row r="12" spans="1:26" ht="22.5" customHeight="1">
      <c r="A12" s="77" t="s">
        <v>35</v>
      </c>
      <c r="B12" s="37"/>
      <c r="C12" s="37"/>
      <c r="D12" s="151">
        <v>36416</v>
      </c>
      <c r="E12" s="151">
        <v>36953</v>
      </c>
      <c r="F12" s="151">
        <v>37491</v>
      </c>
      <c r="G12" s="151">
        <v>38028</v>
      </c>
      <c r="H12" s="151">
        <v>38566</v>
      </c>
      <c r="I12" s="151">
        <v>39103</v>
      </c>
      <c r="J12" s="151">
        <v>39641</v>
      </c>
      <c r="K12" s="151">
        <v>40178</v>
      </c>
      <c r="L12" s="151">
        <v>40716</v>
      </c>
      <c r="M12" s="151">
        <v>41253</v>
      </c>
      <c r="N12" s="151">
        <v>41791</v>
      </c>
      <c r="O12" s="151">
        <v>42328</v>
      </c>
      <c r="P12" s="151">
        <v>42866</v>
      </c>
      <c r="Q12" s="151">
        <v>43403</v>
      </c>
      <c r="R12" s="151">
        <v>43941</v>
      </c>
      <c r="S12" s="10"/>
      <c r="T12" s="10"/>
      <c r="U12" s="10"/>
      <c r="V12" s="10"/>
      <c r="W12" s="10"/>
      <c r="X12" s="10"/>
      <c r="Y12" s="10"/>
      <c r="Z12" s="10"/>
    </row>
    <row r="13" spans="1:26" ht="23.25" customHeight="1">
      <c r="A13" s="36" t="s">
        <v>14</v>
      </c>
      <c r="B13" s="37"/>
      <c r="C13" s="37"/>
      <c r="D13" s="39">
        <f t="shared" ref="D13:R13" si="2">D12/240</f>
        <v>151.73333333333332</v>
      </c>
      <c r="E13" s="39">
        <f t="shared" si="2"/>
        <v>153.97083333333333</v>
      </c>
      <c r="F13" s="39">
        <f t="shared" si="2"/>
        <v>156.21250000000001</v>
      </c>
      <c r="G13" s="39">
        <f t="shared" si="2"/>
        <v>158.44999999999999</v>
      </c>
      <c r="H13" s="39">
        <f t="shared" si="2"/>
        <v>160.69166666666666</v>
      </c>
      <c r="I13" s="39">
        <f t="shared" si="2"/>
        <v>162.92916666666667</v>
      </c>
      <c r="J13" s="39">
        <f t="shared" si="2"/>
        <v>165.17083333333332</v>
      </c>
      <c r="K13" s="39">
        <f t="shared" si="2"/>
        <v>167.40833333333333</v>
      </c>
      <c r="L13" s="39">
        <f t="shared" si="2"/>
        <v>169.65</v>
      </c>
      <c r="M13" s="39">
        <f t="shared" si="2"/>
        <v>171.88749999999999</v>
      </c>
      <c r="N13" s="39">
        <f t="shared" si="2"/>
        <v>174.12916666666666</v>
      </c>
      <c r="O13" s="39">
        <f t="shared" si="2"/>
        <v>176.36666666666667</v>
      </c>
      <c r="P13" s="39">
        <f t="shared" si="2"/>
        <v>178.60833333333332</v>
      </c>
      <c r="Q13" s="39">
        <f t="shared" si="2"/>
        <v>180.84583333333333</v>
      </c>
      <c r="R13" s="39">
        <f t="shared" si="2"/>
        <v>183.08750000000001</v>
      </c>
      <c r="S13" s="10"/>
      <c r="T13" s="10"/>
      <c r="U13" s="10"/>
      <c r="V13" s="10"/>
      <c r="W13" s="10"/>
      <c r="X13" s="10"/>
      <c r="Y13" s="10"/>
      <c r="Z13" s="10"/>
    </row>
    <row r="14" spans="1:26" ht="22.5" customHeight="1">
      <c r="A14" s="40" t="s">
        <v>15</v>
      </c>
      <c r="B14" s="37"/>
      <c r="C14" s="37"/>
      <c r="D14" s="45">
        <f t="shared" ref="D14:R14" si="3">D13/7.5</f>
        <v>20.231111111111108</v>
      </c>
      <c r="E14" s="45">
        <f t="shared" si="3"/>
        <v>20.529444444444444</v>
      </c>
      <c r="F14" s="45">
        <f t="shared" si="3"/>
        <v>20.828333333333333</v>
      </c>
      <c r="G14" s="45">
        <f t="shared" si="3"/>
        <v>21.126666666666665</v>
      </c>
      <c r="H14" s="45">
        <f t="shared" si="3"/>
        <v>21.425555555555555</v>
      </c>
      <c r="I14" s="45">
        <f t="shared" si="3"/>
        <v>21.72388888888889</v>
      </c>
      <c r="J14" s="45">
        <f t="shared" si="3"/>
        <v>22.022777777777776</v>
      </c>
      <c r="K14" s="45">
        <f t="shared" si="3"/>
        <v>22.321111111111112</v>
      </c>
      <c r="L14" s="45">
        <f t="shared" si="3"/>
        <v>22.62</v>
      </c>
      <c r="M14" s="45">
        <f t="shared" si="3"/>
        <v>22.918333333333333</v>
      </c>
      <c r="N14" s="45">
        <f t="shared" si="3"/>
        <v>23.217222222222222</v>
      </c>
      <c r="O14" s="45">
        <f t="shared" si="3"/>
        <v>23.515555555555558</v>
      </c>
      <c r="P14" s="45">
        <f t="shared" si="3"/>
        <v>23.814444444444444</v>
      </c>
      <c r="Q14" s="45">
        <f t="shared" si="3"/>
        <v>24.112777777777776</v>
      </c>
      <c r="R14" s="45">
        <f t="shared" si="3"/>
        <v>24.411666666666669</v>
      </c>
      <c r="S14" s="10"/>
      <c r="T14" s="10"/>
      <c r="U14" s="10"/>
      <c r="V14" s="10"/>
      <c r="W14" s="10"/>
      <c r="X14" s="10"/>
      <c r="Y14" s="10"/>
      <c r="Z14" s="10"/>
    </row>
    <row r="15" spans="1:26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</sheetData>
  <mergeCells count="4">
    <mergeCell ref="A1:P1"/>
    <mergeCell ref="A3:C3"/>
    <mergeCell ref="A4:C4"/>
    <mergeCell ref="A5:C5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M960"/>
  <sheetViews>
    <sheetView workbookViewId="0"/>
  </sheetViews>
  <sheetFormatPr defaultColWidth="14.42578125" defaultRowHeight="15" customHeight="1"/>
  <cols>
    <col min="1" max="1" width="16.7109375" customWidth="1"/>
    <col min="2" max="2" width="7.28515625" customWidth="1"/>
    <col min="3" max="3" width="7.7109375" customWidth="1"/>
    <col min="4" max="19" width="7.5703125" customWidth="1"/>
    <col min="20" max="20" width="7.42578125" customWidth="1"/>
    <col min="21" max="21" width="7.85546875" customWidth="1"/>
    <col min="22" max="22" width="7.42578125" customWidth="1"/>
    <col min="23" max="23" width="7.28515625" customWidth="1"/>
    <col min="24" max="24" width="7.5703125" customWidth="1"/>
    <col min="25" max="25" width="7.85546875" customWidth="1"/>
    <col min="26" max="26" width="7.42578125" customWidth="1"/>
    <col min="27" max="27" width="8" customWidth="1"/>
    <col min="28" max="28" width="7.7109375" customWidth="1"/>
    <col min="29" max="29" width="7.85546875" customWidth="1"/>
    <col min="30" max="30" width="7.140625" customWidth="1"/>
    <col min="31" max="31" width="7.5703125" customWidth="1"/>
    <col min="32" max="33" width="7.85546875" customWidth="1"/>
    <col min="34" max="34" width="8.140625" customWidth="1"/>
    <col min="35" max="39" width="8.7109375" customWidth="1"/>
  </cols>
  <sheetData>
    <row r="1" spans="1:39">
      <c r="A1" s="224" t="s">
        <v>36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9"/>
      <c r="R1" s="9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>
      <c r="A2" s="147"/>
      <c r="B2" s="10"/>
      <c r="C2" s="10"/>
      <c r="D2" s="12"/>
      <c r="E2" s="10"/>
      <c r="F2" s="10"/>
      <c r="G2" s="12"/>
      <c r="H2" s="10"/>
      <c r="I2" s="10"/>
      <c r="J2" s="10"/>
      <c r="K2" s="9"/>
      <c r="L2" s="9"/>
      <c r="M2" s="9"/>
      <c r="N2" s="147"/>
      <c r="O2" s="9"/>
      <c r="P2" s="9"/>
      <c r="Q2" s="9"/>
      <c r="R2" s="9"/>
      <c r="S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>
      <c r="A3" s="18"/>
      <c r="B3" s="18"/>
      <c r="C3" s="12"/>
      <c r="D3" s="18"/>
      <c r="E3" s="18"/>
      <c r="F3" s="17"/>
      <c r="G3" s="18"/>
      <c r="H3" s="18"/>
      <c r="I3" s="18"/>
      <c r="J3" s="18"/>
      <c r="K3" s="9"/>
      <c r="L3" s="9"/>
      <c r="M3" s="9"/>
      <c r="N3" s="9"/>
      <c r="O3" s="9"/>
      <c r="P3" s="9"/>
      <c r="Q3" s="9"/>
      <c r="R3" s="9"/>
      <c r="S3" s="9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ht="29.25">
      <c r="A4" s="152" t="s">
        <v>1</v>
      </c>
      <c r="B4" s="153"/>
      <c r="C4" s="153"/>
      <c r="D4" s="154"/>
      <c r="E4" s="153"/>
      <c r="F4" s="153"/>
      <c r="G4" s="153"/>
      <c r="H4" s="153"/>
      <c r="I4" s="153"/>
      <c r="J4" s="153"/>
      <c r="K4" s="155"/>
      <c r="L4" s="155"/>
      <c r="M4" s="155"/>
      <c r="N4" s="155"/>
      <c r="O4" s="155"/>
      <c r="P4" s="155"/>
      <c r="Q4" s="155"/>
      <c r="R4" s="155"/>
      <c r="S4" s="156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57"/>
      <c r="AJ4" s="157"/>
      <c r="AK4" s="157"/>
      <c r="AL4" s="157"/>
      <c r="AM4" s="157"/>
    </row>
    <row r="5" spans="1:39" ht="29.25">
      <c r="A5" s="26" t="s">
        <v>3</v>
      </c>
      <c r="B5" s="158" t="s">
        <v>4</v>
      </c>
      <c r="C5" s="159"/>
      <c r="D5" s="160">
        <v>0</v>
      </c>
      <c r="E5" s="160">
        <v>1</v>
      </c>
      <c r="F5" s="160">
        <v>2</v>
      </c>
      <c r="G5" s="160">
        <v>3</v>
      </c>
      <c r="H5" s="160">
        <v>4</v>
      </c>
      <c r="I5" s="160">
        <v>5</v>
      </c>
      <c r="J5" s="160">
        <v>6</v>
      </c>
      <c r="K5" s="160">
        <v>7</v>
      </c>
      <c r="L5" s="160">
        <v>8</v>
      </c>
      <c r="M5" s="160">
        <v>9</v>
      </c>
      <c r="N5" s="160">
        <v>10</v>
      </c>
      <c r="O5" s="160">
        <v>11</v>
      </c>
      <c r="P5" s="160">
        <v>12</v>
      </c>
      <c r="Q5" s="160">
        <v>13</v>
      </c>
      <c r="R5" s="160">
        <v>14</v>
      </c>
      <c r="S5" s="160">
        <v>15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ht="20.25" customHeight="1">
      <c r="A6" s="161" t="s">
        <v>37</v>
      </c>
      <c r="B6" s="162">
        <v>7.5</v>
      </c>
      <c r="C6" s="162" t="s">
        <v>8</v>
      </c>
      <c r="D6" s="151">
        <f>25874*1.075</f>
        <v>27814.55</v>
      </c>
      <c r="E6" s="151">
        <f>26391*1.075</f>
        <v>28370.324999999997</v>
      </c>
      <c r="F6" s="151">
        <f>26919*1.075</f>
        <v>28937.924999999999</v>
      </c>
      <c r="G6" s="151">
        <f>27457*1.075</f>
        <v>29516.274999999998</v>
      </c>
      <c r="H6" s="151">
        <f>28006*1.075</f>
        <v>30106.449999999997</v>
      </c>
      <c r="I6" s="151">
        <f>28567*1.075</f>
        <v>30709.524999999998</v>
      </c>
      <c r="J6" s="151">
        <f>29138*1.075</f>
        <v>31323.35</v>
      </c>
      <c r="K6" s="151">
        <f>29721*1.075</f>
        <v>31950.074999999997</v>
      </c>
      <c r="L6" s="151">
        <f>30315*1.075</f>
        <v>32588.625</v>
      </c>
      <c r="M6" s="151">
        <f>30921*1.075</f>
        <v>33240.074999999997</v>
      </c>
      <c r="N6" s="151">
        <f>31540*1.075</f>
        <v>33905.5</v>
      </c>
      <c r="O6" s="151">
        <f>32171*1.075</f>
        <v>34583.824999999997</v>
      </c>
      <c r="P6" s="151">
        <f>32814*1.075</f>
        <v>35275.049999999996</v>
      </c>
      <c r="Q6" s="151">
        <f>33470*1.075</f>
        <v>35980.25</v>
      </c>
      <c r="R6" s="151">
        <f>34140*1.075</f>
        <v>36700.5</v>
      </c>
      <c r="S6" s="151">
        <f>34822*1.075</f>
        <v>37433.65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9"/>
      <c r="AJ6" s="9"/>
      <c r="AK6" s="9"/>
      <c r="AL6" s="9"/>
      <c r="AM6" s="9"/>
    </row>
    <row r="7" spans="1:39">
      <c r="A7" s="163"/>
      <c r="B7" s="164"/>
      <c r="C7" s="164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>
      <c r="A8" s="10"/>
      <c r="B8" s="10"/>
      <c r="C8" s="10"/>
      <c r="D8" s="10"/>
      <c r="E8" s="10"/>
      <c r="F8" s="10"/>
      <c r="G8" s="10"/>
      <c r="H8" s="10"/>
      <c r="I8" s="10"/>
      <c r="J8" s="10"/>
      <c r="K8" s="9"/>
      <c r="L8" s="9"/>
      <c r="M8" s="9"/>
      <c r="N8" s="9"/>
      <c r="O8" s="9"/>
      <c r="P8" s="9"/>
      <c r="Q8" s="9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>
      <c r="A9" s="44" t="s">
        <v>17</v>
      </c>
      <c r="B9" s="10"/>
      <c r="C9" s="10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ht="29.25">
      <c r="A10" s="26" t="s">
        <v>3</v>
      </c>
      <c r="B10" s="158" t="s">
        <v>4</v>
      </c>
      <c r="C10" s="159"/>
      <c r="D10" s="160">
        <v>16</v>
      </c>
      <c r="E10" s="160">
        <v>17</v>
      </c>
      <c r="F10" s="160">
        <v>18</v>
      </c>
      <c r="G10" s="160">
        <v>19</v>
      </c>
      <c r="H10" s="160">
        <v>20</v>
      </c>
      <c r="I10" s="160">
        <v>21</v>
      </c>
      <c r="J10" s="160">
        <v>22</v>
      </c>
      <c r="K10" s="160">
        <v>23</v>
      </c>
      <c r="L10" s="160">
        <v>24</v>
      </c>
      <c r="M10" s="160">
        <v>25</v>
      </c>
      <c r="N10" s="160">
        <v>26</v>
      </c>
      <c r="O10" s="160">
        <v>27</v>
      </c>
      <c r="P10" s="160">
        <v>28</v>
      </c>
      <c r="Q10" s="160">
        <v>29</v>
      </c>
      <c r="R10" s="160">
        <v>30</v>
      </c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ht="18" customHeight="1">
      <c r="A11" s="161" t="s">
        <v>37</v>
      </c>
      <c r="B11" s="162">
        <v>7.5</v>
      </c>
      <c r="C11" s="162" t="s">
        <v>8</v>
      </c>
      <c r="D11" s="151">
        <f>35519*1.075</f>
        <v>38182.924999999996</v>
      </c>
      <c r="E11" s="151">
        <f>36229*1.075</f>
        <v>38946.174999999996</v>
      </c>
      <c r="F11" s="151">
        <f>36954*1.075</f>
        <v>39725.549999999996</v>
      </c>
      <c r="G11" s="151">
        <f>37693*1.075</f>
        <v>40519.974999999999</v>
      </c>
      <c r="H11" s="151">
        <f>38447*1.075</f>
        <v>41330.525000000001</v>
      </c>
      <c r="I11" s="151">
        <f>39216*1.075</f>
        <v>42157.2</v>
      </c>
      <c r="J11" s="151">
        <f>40000*1.075</f>
        <v>43000</v>
      </c>
      <c r="K11" s="151">
        <f>40800*1.075</f>
        <v>43860</v>
      </c>
      <c r="L11" s="151">
        <f>41616*1.075</f>
        <v>44737.2</v>
      </c>
      <c r="M11" s="151">
        <f>42448*1.075</f>
        <v>45631.6</v>
      </c>
      <c r="N11" s="151">
        <f>43297*1.075</f>
        <v>46544.275000000001</v>
      </c>
      <c r="O11" s="151">
        <f>44163*1.075</f>
        <v>47475.224999999999</v>
      </c>
      <c r="P11" s="151">
        <f>45046*1.075</f>
        <v>48424.45</v>
      </c>
      <c r="Q11" s="151">
        <f>45947*1.075</f>
        <v>49393.025000000001</v>
      </c>
      <c r="R11" s="151">
        <f>46866*1.075</f>
        <v>50380.95</v>
      </c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>
      <c r="A12" s="163"/>
      <c r="B12" s="164"/>
      <c r="C12" s="164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9"/>
      <c r="L13" s="9"/>
      <c r="M13" s="9"/>
      <c r="N13" s="9"/>
      <c r="O13" s="9"/>
      <c r="P13" s="9"/>
      <c r="Q13" s="9"/>
      <c r="R13" s="9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>
      <c r="A14" s="10"/>
      <c r="B14" s="10"/>
      <c r="C14" s="10"/>
      <c r="D14" s="167" t="s">
        <v>38</v>
      </c>
      <c r="E14" s="10"/>
      <c r="F14" s="10"/>
      <c r="G14" s="10"/>
      <c r="H14" s="10"/>
      <c r="I14" s="10"/>
      <c r="J14" s="10"/>
      <c r="K14" s="9"/>
      <c r="L14" s="9"/>
      <c r="M14" s="9"/>
      <c r="N14" s="9"/>
      <c r="O14" s="9"/>
      <c r="P14" s="9"/>
      <c r="Q14" s="9"/>
      <c r="R14" s="9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>
      <c r="A15" s="18"/>
      <c r="B15" s="18"/>
      <c r="C15" s="12"/>
      <c r="D15" s="18"/>
      <c r="E15" s="18"/>
      <c r="F15" s="17"/>
      <c r="G15" s="18"/>
      <c r="H15" s="18"/>
      <c r="I15" s="18"/>
      <c r="J15" s="18"/>
      <c r="K15" s="9"/>
      <c r="L15" s="9"/>
      <c r="M15" s="9"/>
      <c r="N15" s="9"/>
      <c r="O15" s="9"/>
      <c r="P15" s="9"/>
      <c r="Q15" s="9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ht="29.25">
      <c r="A16" s="152" t="s">
        <v>1</v>
      </c>
      <c r="B16" s="168"/>
      <c r="C16" s="169"/>
      <c r="D16" s="169"/>
      <c r="E16" s="168"/>
      <c r="F16" s="168"/>
      <c r="G16" s="168"/>
      <c r="H16" s="168"/>
      <c r="I16" s="168"/>
      <c r="J16" s="168"/>
      <c r="K16" s="170"/>
      <c r="L16" s="170"/>
      <c r="M16" s="170"/>
      <c r="N16" s="170"/>
      <c r="O16" s="170"/>
      <c r="P16" s="170"/>
      <c r="Q16" s="170"/>
      <c r="R16" s="170"/>
      <c r="S16" s="17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ht="29.25">
      <c r="A17" s="26" t="s">
        <v>3</v>
      </c>
      <c r="B17" s="158" t="s">
        <v>4</v>
      </c>
      <c r="C17" s="171"/>
      <c r="D17" s="160">
        <v>0</v>
      </c>
      <c r="E17" s="160">
        <v>1</v>
      </c>
      <c r="F17" s="160">
        <v>2</v>
      </c>
      <c r="G17" s="160">
        <v>3</v>
      </c>
      <c r="H17" s="160">
        <v>4</v>
      </c>
      <c r="I17" s="160">
        <v>5</v>
      </c>
      <c r="J17" s="160">
        <v>6</v>
      </c>
      <c r="K17" s="160">
        <v>7</v>
      </c>
      <c r="L17" s="160">
        <v>8</v>
      </c>
      <c r="M17" s="160">
        <v>9</v>
      </c>
      <c r="N17" s="160">
        <v>10</v>
      </c>
      <c r="O17" s="160">
        <v>11</v>
      </c>
      <c r="P17" s="160">
        <v>12</v>
      </c>
      <c r="Q17" s="160">
        <v>13</v>
      </c>
      <c r="R17" s="160">
        <v>14</v>
      </c>
      <c r="S17" s="160">
        <v>15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ht="45">
      <c r="A18" s="172" t="s">
        <v>39</v>
      </c>
      <c r="B18" s="225">
        <v>7.5</v>
      </c>
      <c r="C18" s="225" t="s">
        <v>8</v>
      </c>
      <c r="D18" s="151">
        <f>34500*1.075</f>
        <v>37087.5</v>
      </c>
      <c r="E18" s="151">
        <f t="shared" ref="E18:S18" si="0">SUM(D18+500)</f>
        <v>37587.5</v>
      </c>
      <c r="F18" s="151">
        <f t="shared" si="0"/>
        <v>38087.5</v>
      </c>
      <c r="G18" s="151">
        <f t="shared" si="0"/>
        <v>38587.5</v>
      </c>
      <c r="H18" s="151">
        <f t="shared" si="0"/>
        <v>39087.5</v>
      </c>
      <c r="I18" s="151">
        <f t="shared" si="0"/>
        <v>39587.5</v>
      </c>
      <c r="J18" s="151">
        <f t="shared" si="0"/>
        <v>40087.5</v>
      </c>
      <c r="K18" s="151">
        <f t="shared" si="0"/>
        <v>40587.5</v>
      </c>
      <c r="L18" s="151">
        <f t="shared" si="0"/>
        <v>41087.5</v>
      </c>
      <c r="M18" s="151">
        <f t="shared" si="0"/>
        <v>41587.5</v>
      </c>
      <c r="N18" s="151">
        <f t="shared" si="0"/>
        <v>42087.5</v>
      </c>
      <c r="O18" s="151">
        <f t="shared" si="0"/>
        <v>42587.5</v>
      </c>
      <c r="P18" s="151">
        <f t="shared" si="0"/>
        <v>43087.5</v>
      </c>
      <c r="Q18" s="151">
        <f t="shared" si="0"/>
        <v>43587.5</v>
      </c>
      <c r="R18" s="151">
        <f t="shared" si="0"/>
        <v>44087.5</v>
      </c>
      <c r="S18" s="151">
        <f t="shared" si="0"/>
        <v>44587.5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ht="27.75" customHeight="1">
      <c r="A19" s="173" t="s">
        <v>40</v>
      </c>
      <c r="B19" s="203"/>
      <c r="C19" s="203"/>
      <c r="D19" s="151">
        <v>46763</v>
      </c>
      <c r="E19" s="151">
        <v>47300</v>
      </c>
      <c r="F19" s="151">
        <v>47838</v>
      </c>
      <c r="G19" s="151">
        <v>48375</v>
      </c>
      <c r="H19" s="151">
        <v>48913</v>
      </c>
      <c r="I19" s="151">
        <v>49450</v>
      </c>
      <c r="J19" s="151">
        <v>49988</v>
      </c>
      <c r="K19" s="151">
        <v>50525</v>
      </c>
      <c r="L19" s="151">
        <v>51063</v>
      </c>
      <c r="M19" s="151">
        <v>51600</v>
      </c>
      <c r="N19" s="151">
        <v>52138</v>
      </c>
      <c r="O19" s="151">
        <v>52675</v>
      </c>
      <c r="P19" s="151">
        <v>53213</v>
      </c>
      <c r="Q19" s="151">
        <v>53750</v>
      </c>
      <c r="R19" s="151">
        <v>54288</v>
      </c>
      <c r="S19" s="151">
        <v>54825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ht="27.75" customHeight="1">
      <c r="A20" s="173" t="s">
        <v>41</v>
      </c>
      <c r="B20" s="204"/>
      <c r="C20" s="204"/>
      <c r="D20" s="151">
        <f>45000*1.075</f>
        <v>48375</v>
      </c>
      <c r="E20" s="151">
        <f t="shared" ref="E20:S20" si="1">SUM(D20+500)</f>
        <v>48875</v>
      </c>
      <c r="F20" s="151">
        <f t="shared" si="1"/>
        <v>49375</v>
      </c>
      <c r="G20" s="151">
        <f t="shared" si="1"/>
        <v>49875</v>
      </c>
      <c r="H20" s="151">
        <f t="shared" si="1"/>
        <v>50375</v>
      </c>
      <c r="I20" s="151">
        <f t="shared" si="1"/>
        <v>50875</v>
      </c>
      <c r="J20" s="151">
        <f t="shared" si="1"/>
        <v>51375</v>
      </c>
      <c r="K20" s="151">
        <f t="shared" si="1"/>
        <v>51875</v>
      </c>
      <c r="L20" s="151">
        <f t="shared" si="1"/>
        <v>52375</v>
      </c>
      <c r="M20" s="151">
        <f t="shared" si="1"/>
        <v>52875</v>
      </c>
      <c r="N20" s="151">
        <f t="shared" si="1"/>
        <v>53375</v>
      </c>
      <c r="O20" s="151">
        <f t="shared" si="1"/>
        <v>53875</v>
      </c>
      <c r="P20" s="151">
        <f t="shared" si="1"/>
        <v>54375</v>
      </c>
      <c r="Q20" s="151">
        <f t="shared" si="1"/>
        <v>54875</v>
      </c>
      <c r="R20" s="151">
        <f t="shared" si="1"/>
        <v>55375</v>
      </c>
      <c r="S20" s="151">
        <f t="shared" si="1"/>
        <v>55875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>
      <c r="A21" s="10"/>
      <c r="B21" s="174"/>
      <c r="C21" s="174"/>
      <c r="D21" s="10"/>
      <c r="E21" s="10"/>
      <c r="F21" s="10"/>
      <c r="G21" s="10"/>
      <c r="H21" s="10"/>
      <c r="I21" s="10"/>
      <c r="J21" s="10"/>
      <c r="K21" s="9"/>
      <c r="L21" s="9"/>
      <c r="M21" s="9"/>
      <c r="N21" s="9"/>
      <c r="O21" s="9"/>
      <c r="P21" s="9"/>
      <c r="Q21" s="9"/>
      <c r="R21" s="9"/>
      <c r="S21" s="9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>
      <c r="A22" s="44" t="s">
        <v>17</v>
      </c>
      <c r="B22" s="174"/>
      <c r="C22" s="174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9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ht="29.25">
      <c r="A23" s="26" t="s">
        <v>3</v>
      </c>
      <c r="B23" s="158" t="s">
        <v>4</v>
      </c>
      <c r="C23" s="171"/>
      <c r="D23" s="160">
        <v>16</v>
      </c>
      <c r="E23" s="160">
        <v>17</v>
      </c>
      <c r="F23" s="160">
        <v>18</v>
      </c>
      <c r="G23" s="160">
        <v>19</v>
      </c>
      <c r="H23" s="160">
        <v>20</v>
      </c>
      <c r="I23" s="160">
        <v>21</v>
      </c>
      <c r="J23" s="160">
        <v>22</v>
      </c>
      <c r="K23" s="160">
        <v>23</v>
      </c>
      <c r="L23" s="160">
        <v>24</v>
      </c>
      <c r="M23" s="160">
        <v>25</v>
      </c>
      <c r="N23" s="160">
        <v>26</v>
      </c>
      <c r="O23" s="160">
        <v>27</v>
      </c>
      <c r="P23" s="160">
        <v>28</v>
      </c>
      <c r="Q23" s="160">
        <v>29</v>
      </c>
      <c r="R23" s="160">
        <v>30</v>
      </c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ht="45">
      <c r="A24" s="172" t="s">
        <v>39</v>
      </c>
      <c r="B24" s="225">
        <v>7.5</v>
      </c>
      <c r="C24" s="225" t="s">
        <v>8</v>
      </c>
      <c r="D24" s="151">
        <f>SUM(S18+500)</f>
        <v>45087.5</v>
      </c>
      <c r="E24" s="176">
        <f t="shared" ref="E24:R24" si="2">SUM(D24+500)</f>
        <v>45587.5</v>
      </c>
      <c r="F24" s="176">
        <f t="shared" si="2"/>
        <v>46087.5</v>
      </c>
      <c r="G24" s="176">
        <f t="shared" si="2"/>
        <v>46587.5</v>
      </c>
      <c r="H24" s="176">
        <f t="shared" si="2"/>
        <v>47087.5</v>
      </c>
      <c r="I24" s="176">
        <f t="shared" si="2"/>
        <v>47587.5</v>
      </c>
      <c r="J24" s="176">
        <f t="shared" si="2"/>
        <v>48087.5</v>
      </c>
      <c r="K24" s="176">
        <f t="shared" si="2"/>
        <v>48587.5</v>
      </c>
      <c r="L24" s="176">
        <f t="shared" si="2"/>
        <v>49087.5</v>
      </c>
      <c r="M24" s="176">
        <f t="shared" si="2"/>
        <v>49587.5</v>
      </c>
      <c r="N24" s="176">
        <f t="shared" si="2"/>
        <v>50087.5</v>
      </c>
      <c r="O24" s="176">
        <f t="shared" si="2"/>
        <v>50587.5</v>
      </c>
      <c r="P24" s="176">
        <f t="shared" si="2"/>
        <v>51087.5</v>
      </c>
      <c r="Q24" s="176">
        <f t="shared" si="2"/>
        <v>51587.5</v>
      </c>
      <c r="R24" s="176">
        <f t="shared" si="2"/>
        <v>52087.5</v>
      </c>
      <c r="S24" s="9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ht="23.25" customHeight="1">
      <c r="A25" s="173" t="s">
        <v>40</v>
      </c>
      <c r="B25" s="203"/>
      <c r="C25" s="203"/>
      <c r="D25" s="151">
        <v>55363</v>
      </c>
      <c r="E25" s="177">
        <v>55900</v>
      </c>
      <c r="F25" s="177">
        <v>56438</v>
      </c>
      <c r="G25" s="177">
        <v>56975</v>
      </c>
      <c r="H25" s="177">
        <v>57513</v>
      </c>
      <c r="I25" s="177">
        <v>58050</v>
      </c>
      <c r="J25" s="177">
        <v>58588</v>
      </c>
      <c r="K25" s="177">
        <v>59125</v>
      </c>
      <c r="L25" s="177">
        <v>59663</v>
      </c>
      <c r="M25" s="177">
        <v>60200</v>
      </c>
      <c r="N25" s="177">
        <v>60738</v>
      </c>
      <c r="O25" s="177">
        <v>61275</v>
      </c>
      <c r="P25" s="177">
        <v>61813</v>
      </c>
      <c r="Q25" s="177">
        <v>62350</v>
      </c>
      <c r="R25" s="177">
        <v>62888</v>
      </c>
      <c r="S25" s="9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ht="24.75" customHeight="1">
      <c r="A26" s="173" t="s">
        <v>41</v>
      </c>
      <c r="B26" s="204"/>
      <c r="C26" s="204"/>
      <c r="D26" s="151">
        <f>53000*1.075</f>
        <v>56975</v>
      </c>
      <c r="E26" s="176">
        <f t="shared" ref="E26:R26" si="3">SUM(D26+500)</f>
        <v>57475</v>
      </c>
      <c r="F26" s="176">
        <f t="shared" si="3"/>
        <v>57975</v>
      </c>
      <c r="G26" s="176">
        <f t="shared" si="3"/>
        <v>58475</v>
      </c>
      <c r="H26" s="176">
        <f t="shared" si="3"/>
        <v>58975</v>
      </c>
      <c r="I26" s="176">
        <f t="shared" si="3"/>
        <v>59475</v>
      </c>
      <c r="J26" s="176">
        <f t="shared" si="3"/>
        <v>59975</v>
      </c>
      <c r="K26" s="176">
        <f t="shared" si="3"/>
        <v>60475</v>
      </c>
      <c r="L26" s="176">
        <f t="shared" si="3"/>
        <v>60975</v>
      </c>
      <c r="M26" s="176">
        <f t="shared" si="3"/>
        <v>61475</v>
      </c>
      <c r="N26" s="176">
        <f t="shared" si="3"/>
        <v>61975</v>
      </c>
      <c r="O26" s="176">
        <f t="shared" si="3"/>
        <v>62475</v>
      </c>
      <c r="P26" s="176">
        <f t="shared" si="3"/>
        <v>62975</v>
      </c>
      <c r="Q26" s="176">
        <f t="shared" si="3"/>
        <v>63475</v>
      </c>
      <c r="R26" s="176">
        <f t="shared" si="3"/>
        <v>63975</v>
      </c>
      <c r="S26" s="9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>
      <c r="A27" s="10"/>
      <c r="B27" s="10"/>
      <c r="C27" s="10"/>
      <c r="D27" s="167"/>
      <c r="E27" s="10"/>
      <c r="F27" s="10"/>
      <c r="G27" s="10"/>
      <c r="H27" s="10"/>
      <c r="I27" s="10"/>
      <c r="J27" s="10"/>
      <c r="K27" s="9"/>
      <c r="L27" s="9"/>
      <c r="M27" s="9"/>
      <c r="N27" s="9"/>
      <c r="O27" s="9"/>
      <c r="P27" s="9"/>
      <c r="Q27" s="9"/>
      <c r="R27" s="9"/>
      <c r="S27" s="9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>
      <c r="A28" s="10"/>
      <c r="B28" s="10"/>
      <c r="C28" s="10"/>
      <c r="D28" s="167" t="s">
        <v>38</v>
      </c>
      <c r="E28" s="10"/>
      <c r="F28" s="10"/>
      <c r="G28" s="10"/>
      <c r="H28" s="10"/>
      <c r="I28" s="10"/>
      <c r="J28" s="10"/>
      <c r="K28" s="9"/>
      <c r="L28" s="9"/>
      <c r="M28" s="9"/>
      <c r="N28" s="9"/>
      <c r="O28" s="9"/>
      <c r="P28" s="9"/>
      <c r="Q28" s="9"/>
      <c r="R28" s="9"/>
      <c r="S28" s="9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9"/>
      <c r="L29" s="9"/>
      <c r="M29" s="9"/>
      <c r="N29" s="9"/>
      <c r="O29" s="9"/>
      <c r="P29" s="9"/>
      <c r="Q29" s="9"/>
      <c r="R29" s="9"/>
      <c r="S29" s="9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>
      <c r="A30" s="178"/>
      <c r="B30" s="178"/>
      <c r="C30" s="178"/>
      <c r="D30" s="178"/>
      <c r="E30" s="178"/>
      <c r="F30" s="178"/>
      <c r="G30" s="178"/>
      <c r="H30" s="178"/>
      <c r="I30" s="178"/>
      <c r="J30" s="178"/>
      <c r="K30" s="179"/>
      <c r="L30" s="179"/>
      <c r="M30" s="179"/>
      <c r="N30" s="179"/>
      <c r="O30" s="179"/>
      <c r="P30" s="179"/>
      <c r="Q30" s="179"/>
      <c r="R30" s="179"/>
      <c r="S30" s="179"/>
      <c r="T30" s="18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ht="30">
      <c r="A31" s="181" t="s">
        <v>1</v>
      </c>
      <c r="B31" s="182"/>
      <c r="C31" s="183"/>
      <c r="D31" s="183"/>
      <c r="E31" s="182"/>
      <c r="F31" s="182"/>
      <c r="G31" s="182"/>
      <c r="H31" s="182"/>
      <c r="I31" s="182"/>
      <c r="J31" s="182"/>
      <c r="K31" s="184"/>
      <c r="L31" s="184"/>
      <c r="M31" s="184"/>
      <c r="N31" s="184"/>
      <c r="O31" s="184"/>
      <c r="P31" s="184"/>
      <c r="Q31" s="184"/>
      <c r="R31" s="184"/>
      <c r="S31" s="184"/>
      <c r="T31" s="18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 ht="30">
      <c r="A32" s="185" t="s">
        <v>3</v>
      </c>
      <c r="B32" s="186" t="s">
        <v>4</v>
      </c>
      <c r="C32" s="187"/>
      <c r="D32" s="188">
        <v>0</v>
      </c>
      <c r="E32" s="188">
        <v>1</v>
      </c>
      <c r="F32" s="188">
        <v>2</v>
      </c>
      <c r="G32" s="188">
        <v>3</v>
      </c>
      <c r="H32" s="188">
        <v>4</v>
      </c>
      <c r="I32" s="188">
        <v>5</v>
      </c>
      <c r="J32" s="188">
        <v>6</v>
      </c>
      <c r="K32" s="188">
        <v>7</v>
      </c>
      <c r="L32" s="188">
        <v>8</v>
      </c>
      <c r="M32" s="188">
        <v>9</v>
      </c>
      <c r="N32" s="188">
        <v>10</v>
      </c>
      <c r="O32" s="188">
        <v>11</v>
      </c>
      <c r="P32" s="188">
        <v>12</v>
      </c>
      <c r="Q32" s="188">
        <v>13</v>
      </c>
      <c r="R32" s="188">
        <v>14</v>
      </c>
      <c r="S32" s="188">
        <v>15</v>
      </c>
      <c r="T32" s="18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ht="43.5">
      <c r="A33" s="189" t="s">
        <v>42</v>
      </c>
      <c r="B33" s="222">
        <v>7.5</v>
      </c>
      <c r="C33" s="222" t="s">
        <v>8</v>
      </c>
      <c r="D33" s="190">
        <f>33250*1.075</f>
        <v>35743.75</v>
      </c>
      <c r="E33" s="190">
        <v>36550</v>
      </c>
      <c r="F33" s="190">
        <v>37356</v>
      </c>
      <c r="G33" s="190">
        <v>38163</v>
      </c>
      <c r="H33" s="190">
        <v>38969</v>
      </c>
      <c r="I33" s="190">
        <v>39775</v>
      </c>
      <c r="J33" s="190">
        <v>40581</v>
      </c>
      <c r="K33" s="190">
        <v>41388</v>
      </c>
      <c r="L33" s="190">
        <v>42194</v>
      </c>
      <c r="M33" s="190">
        <v>43000</v>
      </c>
      <c r="N33" s="190">
        <v>43538</v>
      </c>
      <c r="O33" s="190">
        <v>44075</v>
      </c>
      <c r="P33" s="190">
        <v>44613</v>
      </c>
      <c r="Q33" s="190">
        <v>45150</v>
      </c>
      <c r="R33" s="190">
        <v>45688</v>
      </c>
      <c r="S33" s="190">
        <v>46225</v>
      </c>
      <c r="T33" s="18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>
      <c r="A34" s="191" t="s">
        <v>43</v>
      </c>
      <c r="B34" s="223"/>
      <c r="C34" s="223"/>
      <c r="D34" s="190">
        <f>33750*1.075</f>
        <v>36281.25</v>
      </c>
      <c r="E34" s="190">
        <v>37088</v>
      </c>
      <c r="F34" s="190">
        <v>37894</v>
      </c>
      <c r="G34" s="190">
        <v>38700</v>
      </c>
      <c r="H34" s="190">
        <v>39506</v>
      </c>
      <c r="I34" s="190">
        <v>40313</v>
      </c>
      <c r="J34" s="190">
        <v>41119</v>
      </c>
      <c r="K34" s="190">
        <v>41656</v>
      </c>
      <c r="L34" s="190">
        <v>42731</v>
      </c>
      <c r="M34" s="190">
        <v>43538</v>
      </c>
      <c r="N34" s="190">
        <v>44075</v>
      </c>
      <c r="O34" s="190">
        <v>44613</v>
      </c>
      <c r="P34" s="190">
        <v>45150</v>
      </c>
      <c r="Q34" s="190">
        <v>45688</v>
      </c>
      <c r="R34" s="190">
        <v>46225</v>
      </c>
      <c r="S34" s="190">
        <v>46763</v>
      </c>
      <c r="T34" s="18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>
      <c r="A35" s="180"/>
      <c r="B35" s="180"/>
      <c r="C35" s="180"/>
      <c r="D35" s="178"/>
      <c r="E35" s="178"/>
      <c r="F35" s="178"/>
      <c r="G35" s="178"/>
      <c r="H35" s="178"/>
      <c r="I35" s="178"/>
      <c r="J35" s="180"/>
      <c r="K35" s="192"/>
      <c r="L35" s="192"/>
      <c r="M35" s="192"/>
      <c r="N35" s="192"/>
      <c r="O35" s="192"/>
      <c r="P35" s="192"/>
      <c r="Q35" s="192"/>
      <c r="R35" s="192"/>
      <c r="S35" s="192"/>
      <c r="T35" s="18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>
      <c r="A36" s="193" t="s">
        <v>17</v>
      </c>
      <c r="B36" s="178"/>
      <c r="C36" s="194"/>
      <c r="D36" s="182"/>
      <c r="E36" s="182"/>
      <c r="F36" s="182"/>
      <c r="G36" s="182"/>
      <c r="H36" s="182"/>
      <c r="I36" s="182"/>
      <c r="J36" s="180"/>
      <c r="K36" s="180"/>
      <c r="L36" s="180"/>
      <c r="M36" s="180"/>
      <c r="N36" s="180"/>
      <c r="O36" s="180"/>
      <c r="P36" s="180"/>
      <c r="Q36" s="180"/>
      <c r="R36" s="180"/>
      <c r="S36" s="192"/>
      <c r="T36" s="18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ht="30">
      <c r="A37" s="185" t="s">
        <v>3</v>
      </c>
      <c r="B37" s="186" t="s">
        <v>4</v>
      </c>
      <c r="C37" s="187"/>
      <c r="D37" s="188">
        <v>16</v>
      </c>
      <c r="E37" s="188">
        <v>17</v>
      </c>
      <c r="F37" s="188">
        <v>18</v>
      </c>
      <c r="G37" s="188">
        <v>19</v>
      </c>
      <c r="H37" s="188">
        <v>20</v>
      </c>
      <c r="I37" s="188" t="s">
        <v>44</v>
      </c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8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 ht="43.5">
      <c r="A38" s="189" t="s">
        <v>42</v>
      </c>
      <c r="B38" s="222">
        <v>7.5</v>
      </c>
      <c r="C38" s="222" t="s">
        <v>8</v>
      </c>
      <c r="D38" s="195">
        <v>46763</v>
      </c>
      <c r="E38" s="190">
        <v>47300</v>
      </c>
      <c r="F38" s="190">
        <v>47838</v>
      </c>
      <c r="G38" s="190">
        <v>48375</v>
      </c>
      <c r="H38" s="190">
        <v>48375</v>
      </c>
      <c r="I38" s="190">
        <v>49450</v>
      </c>
      <c r="J38" s="196"/>
      <c r="K38" s="196"/>
      <c r="L38" s="196"/>
      <c r="M38" s="196"/>
      <c r="N38" s="196"/>
      <c r="O38" s="196"/>
      <c r="P38" s="196"/>
      <c r="Q38" s="196"/>
      <c r="R38" s="196"/>
      <c r="S38" s="192"/>
      <c r="T38" s="18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>
      <c r="A39" s="191" t="s">
        <v>43</v>
      </c>
      <c r="B39" s="223"/>
      <c r="C39" s="223"/>
      <c r="D39" s="195">
        <v>47300</v>
      </c>
      <c r="E39" s="190">
        <v>47838</v>
      </c>
      <c r="F39" s="190">
        <v>48375</v>
      </c>
      <c r="G39" s="190">
        <v>49450</v>
      </c>
      <c r="H39" s="190">
        <v>49450</v>
      </c>
      <c r="I39" s="190">
        <v>51063</v>
      </c>
      <c r="J39" s="196"/>
      <c r="K39" s="196"/>
      <c r="L39" s="196"/>
      <c r="M39" s="196"/>
      <c r="N39" s="196"/>
      <c r="O39" s="196"/>
      <c r="P39" s="196"/>
      <c r="Q39" s="196"/>
      <c r="R39" s="196"/>
      <c r="S39" s="192"/>
      <c r="T39" s="18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>
      <c r="A40" s="180"/>
      <c r="B40" s="180"/>
      <c r="C40" s="180"/>
      <c r="D40" s="180"/>
      <c r="E40" s="180"/>
      <c r="F40" s="180"/>
      <c r="G40" s="180"/>
      <c r="H40" s="180"/>
      <c r="I40" s="180"/>
      <c r="J40" s="180"/>
      <c r="K40" s="192"/>
      <c r="L40" s="192"/>
      <c r="M40" s="192"/>
      <c r="N40" s="192"/>
      <c r="O40" s="192"/>
      <c r="P40" s="192"/>
      <c r="Q40" s="192"/>
      <c r="R40" s="192"/>
      <c r="S40" s="192"/>
      <c r="T40" s="18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>
      <c r="A41" s="180"/>
      <c r="B41" s="180"/>
      <c r="C41" s="180"/>
      <c r="D41" s="197" t="s">
        <v>45</v>
      </c>
      <c r="E41" s="180"/>
      <c r="F41" s="180"/>
      <c r="G41" s="180"/>
      <c r="H41" s="180"/>
      <c r="I41" s="180"/>
      <c r="J41" s="180"/>
      <c r="K41" s="192"/>
      <c r="L41" s="192"/>
      <c r="M41" s="192"/>
      <c r="N41" s="192"/>
      <c r="O41" s="192"/>
      <c r="P41" s="192"/>
      <c r="Q41" s="192"/>
      <c r="R41" s="192"/>
      <c r="S41" s="192"/>
      <c r="T41" s="18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92"/>
      <c r="L42" s="192"/>
      <c r="M42" s="192"/>
      <c r="N42" s="192"/>
      <c r="O42" s="192"/>
      <c r="P42" s="192"/>
      <c r="Q42" s="192"/>
      <c r="R42" s="192"/>
      <c r="S42" s="192"/>
      <c r="T42" s="18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9"/>
      <c r="L43" s="9"/>
      <c r="M43" s="9"/>
      <c r="N43" s="9"/>
      <c r="O43" s="9"/>
      <c r="P43" s="9"/>
      <c r="Q43" s="9"/>
      <c r="R43" s="9"/>
      <c r="S43" s="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9"/>
      <c r="L44" s="9"/>
      <c r="M44" s="9"/>
      <c r="N44" s="9"/>
      <c r="O44" s="9"/>
      <c r="P44" s="9"/>
      <c r="Q44" s="9"/>
      <c r="R44" s="9"/>
      <c r="S44" s="9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9"/>
      <c r="L45" s="9"/>
      <c r="M45" s="9"/>
      <c r="N45" s="9"/>
      <c r="O45" s="9"/>
      <c r="P45" s="9"/>
      <c r="Q45" s="9"/>
      <c r="R45" s="9"/>
      <c r="S45" s="9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39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9"/>
      <c r="L46" s="9"/>
      <c r="M46" s="9"/>
      <c r="N46" s="9"/>
      <c r="O46" s="9"/>
      <c r="P46" s="9"/>
      <c r="Q46" s="9"/>
      <c r="R46" s="9"/>
      <c r="S46" s="9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9"/>
      <c r="L47" s="9"/>
      <c r="M47" s="9"/>
      <c r="N47" s="9"/>
      <c r="O47" s="9"/>
      <c r="P47" s="9"/>
      <c r="Q47" s="9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9"/>
      <c r="L48" s="9"/>
      <c r="M48" s="9"/>
      <c r="N48" s="9"/>
      <c r="O48" s="9"/>
      <c r="P48" s="9"/>
      <c r="Q48" s="9"/>
      <c r="R48" s="9"/>
      <c r="S48" s="9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3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9"/>
      <c r="L49" s="9"/>
      <c r="M49" s="9"/>
      <c r="N49" s="9"/>
      <c r="O49" s="9"/>
      <c r="P49" s="9"/>
      <c r="Q49" s="9"/>
      <c r="R49" s="9"/>
      <c r="S49" s="9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39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9"/>
      <c r="L50" s="9"/>
      <c r="M50" s="9"/>
      <c r="N50" s="9"/>
      <c r="O50" s="9"/>
      <c r="P50" s="9"/>
      <c r="Q50" s="9"/>
      <c r="R50" s="9"/>
      <c r="S50" s="9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</row>
    <row r="51" spans="1:39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9"/>
      <c r="L51" s="9"/>
      <c r="M51" s="9"/>
      <c r="N51" s="9"/>
      <c r="O51" s="9"/>
      <c r="P51" s="9"/>
      <c r="Q51" s="9"/>
      <c r="R51" s="9"/>
      <c r="S51" s="9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1:39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9"/>
      <c r="L52" s="9"/>
      <c r="M52" s="9"/>
      <c r="N52" s="9"/>
      <c r="O52" s="9"/>
      <c r="P52" s="9"/>
      <c r="Q52" s="9"/>
      <c r="R52" s="9"/>
      <c r="S52" s="9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1:39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9"/>
      <c r="L53" s="9"/>
      <c r="M53" s="9"/>
      <c r="N53" s="9"/>
      <c r="O53" s="9"/>
      <c r="P53" s="9"/>
      <c r="Q53" s="9"/>
      <c r="R53" s="9"/>
      <c r="S53" s="9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9"/>
      <c r="L54" s="9"/>
      <c r="M54" s="9"/>
      <c r="N54" s="9"/>
      <c r="O54" s="9"/>
      <c r="P54" s="9"/>
      <c r="Q54" s="9"/>
      <c r="R54" s="9"/>
      <c r="S54" s="9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9"/>
      <c r="L55" s="9"/>
      <c r="M55" s="9"/>
      <c r="N55" s="9"/>
      <c r="O55" s="9"/>
      <c r="P55" s="9"/>
      <c r="Q55" s="9"/>
      <c r="R55" s="9"/>
      <c r="S55" s="9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39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9"/>
      <c r="L56" s="9"/>
      <c r="M56" s="9"/>
      <c r="N56" s="9"/>
      <c r="O56" s="9"/>
      <c r="P56" s="9"/>
      <c r="Q56" s="9"/>
      <c r="R56" s="9"/>
      <c r="S56" s="9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</row>
    <row r="57" spans="1:39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9"/>
      <c r="L57" s="9"/>
      <c r="M57" s="9"/>
      <c r="N57" s="9"/>
      <c r="O57" s="9"/>
      <c r="P57" s="9"/>
      <c r="Q57" s="9"/>
      <c r="R57" s="9"/>
      <c r="S57" s="9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9"/>
      <c r="L58" s="9"/>
      <c r="M58" s="9"/>
      <c r="N58" s="9"/>
      <c r="O58" s="9"/>
      <c r="P58" s="9"/>
      <c r="Q58" s="9"/>
      <c r="R58" s="9"/>
      <c r="S58" s="9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9"/>
      <c r="L59" s="9"/>
      <c r="M59" s="9"/>
      <c r="N59" s="9"/>
      <c r="O59" s="9"/>
      <c r="P59" s="9"/>
      <c r="Q59" s="9"/>
      <c r="R59" s="9"/>
      <c r="S59" s="9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9"/>
      <c r="L60" s="9"/>
      <c r="M60" s="9"/>
      <c r="N60" s="9"/>
      <c r="O60" s="9"/>
      <c r="P60" s="9"/>
      <c r="Q60" s="9"/>
      <c r="R60" s="9"/>
      <c r="S60" s="9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9"/>
      <c r="L61" s="9"/>
      <c r="M61" s="9"/>
      <c r="N61" s="9"/>
      <c r="O61" s="9"/>
      <c r="P61" s="9"/>
      <c r="Q61" s="9"/>
      <c r="R61" s="9"/>
      <c r="S61" s="9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9"/>
      <c r="L62" s="9"/>
      <c r="M62" s="9"/>
      <c r="N62" s="9"/>
      <c r="O62" s="9"/>
      <c r="P62" s="9"/>
      <c r="Q62" s="9"/>
      <c r="R62" s="9"/>
      <c r="S62" s="9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9"/>
      <c r="L63" s="9"/>
      <c r="M63" s="9"/>
      <c r="N63" s="9"/>
      <c r="O63" s="9"/>
      <c r="P63" s="9"/>
      <c r="Q63" s="9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39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9"/>
      <c r="L64" s="9"/>
      <c r="M64" s="9"/>
      <c r="N64" s="9"/>
      <c r="O64" s="9"/>
      <c r="P64" s="9"/>
      <c r="Q64" s="9"/>
      <c r="R64" s="9"/>
      <c r="S64" s="9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9"/>
      <c r="L65" s="9"/>
      <c r="M65" s="9"/>
      <c r="N65" s="9"/>
      <c r="O65" s="9"/>
      <c r="P65" s="9"/>
      <c r="Q65" s="9"/>
      <c r="R65" s="9"/>
      <c r="S65" s="9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9"/>
      <c r="L66" s="9"/>
      <c r="M66" s="9"/>
      <c r="N66" s="9"/>
      <c r="O66" s="9"/>
      <c r="P66" s="9"/>
      <c r="Q66" s="9"/>
      <c r="R66" s="9"/>
      <c r="S66" s="9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9"/>
      <c r="L67" s="9"/>
      <c r="M67" s="9"/>
      <c r="N67" s="9"/>
      <c r="O67" s="9"/>
      <c r="P67" s="9"/>
      <c r="Q67" s="9"/>
      <c r="R67" s="9"/>
      <c r="S67" s="9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9"/>
      <c r="L68" s="9"/>
      <c r="M68" s="9"/>
      <c r="N68" s="9"/>
      <c r="O68" s="9"/>
      <c r="P68" s="9"/>
      <c r="Q68" s="9"/>
      <c r="R68" s="9"/>
      <c r="S68" s="9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9"/>
      <c r="L69" s="9"/>
      <c r="M69" s="9"/>
      <c r="N69" s="9"/>
      <c r="O69" s="9"/>
      <c r="P69" s="9"/>
      <c r="Q69" s="9"/>
      <c r="R69" s="9"/>
      <c r="S69" s="9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9"/>
      <c r="L70" s="9"/>
      <c r="M70" s="9"/>
      <c r="N70" s="9"/>
      <c r="O70" s="9"/>
      <c r="P70" s="9"/>
      <c r="Q70" s="9"/>
      <c r="R70" s="9"/>
      <c r="S70" s="9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39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9"/>
      <c r="L71" s="9"/>
      <c r="M71" s="9"/>
      <c r="N71" s="9"/>
      <c r="O71" s="9"/>
      <c r="P71" s="9"/>
      <c r="Q71" s="9"/>
      <c r="R71" s="9"/>
      <c r="S71" s="9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9"/>
      <c r="L72" s="9"/>
      <c r="M72" s="9"/>
      <c r="N72" s="9"/>
      <c r="O72" s="9"/>
      <c r="P72" s="9"/>
      <c r="Q72" s="9"/>
      <c r="R72" s="9"/>
      <c r="S72" s="9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9"/>
      <c r="L73" s="9"/>
      <c r="M73" s="9"/>
      <c r="N73" s="9"/>
      <c r="O73" s="9"/>
      <c r="P73" s="9"/>
      <c r="Q73" s="9"/>
      <c r="R73" s="9"/>
      <c r="S73" s="9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</row>
    <row r="74" spans="1:39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9"/>
      <c r="L74" s="9"/>
      <c r="M74" s="9"/>
      <c r="N74" s="9"/>
      <c r="O74" s="9"/>
      <c r="P74" s="9"/>
      <c r="Q74" s="9"/>
      <c r="R74" s="9"/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39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9"/>
      <c r="L75" s="9"/>
      <c r="M75" s="9"/>
      <c r="N75" s="9"/>
      <c r="O75" s="9"/>
      <c r="P75" s="9"/>
      <c r="Q75" s="9"/>
      <c r="R75" s="9"/>
      <c r="S75" s="9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</row>
    <row r="76" spans="1:39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9"/>
      <c r="L76" s="9"/>
      <c r="M76" s="9"/>
      <c r="N76" s="9"/>
      <c r="O76" s="9"/>
      <c r="P76" s="9"/>
      <c r="Q76" s="9"/>
      <c r="R76" s="9"/>
      <c r="S76" s="9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1:39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9"/>
      <c r="L77" s="9"/>
      <c r="M77" s="9"/>
      <c r="N77" s="9"/>
      <c r="O77" s="9"/>
      <c r="P77" s="9"/>
      <c r="Q77" s="9"/>
      <c r="R77" s="9"/>
      <c r="S77" s="9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</row>
    <row r="78" spans="1:39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9"/>
      <c r="L78" s="9"/>
      <c r="M78" s="9"/>
      <c r="N78" s="9"/>
      <c r="O78" s="9"/>
      <c r="P78" s="9"/>
      <c r="Q78" s="9"/>
      <c r="R78" s="9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</row>
    <row r="79" spans="1:3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9"/>
      <c r="L79" s="9"/>
      <c r="M79" s="9"/>
      <c r="N79" s="9"/>
      <c r="O79" s="9"/>
      <c r="P79" s="9"/>
      <c r="Q79" s="9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1:39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9"/>
      <c r="L80" s="9"/>
      <c r="M80" s="9"/>
      <c r="N80" s="9"/>
      <c r="O80" s="9"/>
      <c r="P80" s="9"/>
      <c r="Q80" s="9"/>
      <c r="R80" s="9"/>
      <c r="S80" s="9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</row>
    <row r="81" spans="1:39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9"/>
      <c r="L81" s="9"/>
      <c r="M81" s="9"/>
      <c r="N81" s="9"/>
      <c r="O81" s="9"/>
      <c r="P81" s="9"/>
      <c r="Q81" s="9"/>
      <c r="R81" s="9"/>
      <c r="S81" s="9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</row>
    <row r="82" spans="1:39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9"/>
      <c r="L82" s="9"/>
      <c r="M82" s="9"/>
      <c r="N82" s="9"/>
      <c r="O82" s="9"/>
      <c r="P82" s="9"/>
      <c r="Q82" s="9"/>
      <c r="R82" s="9"/>
      <c r="S82" s="9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:39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9"/>
      <c r="L83" s="9"/>
      <c r="M83" s="9"/>
      <c r="N83" s="9"/>
      <c r="O83" s="9"/>
      <c r="P83" s="9"/>
      <c r="Q83" s="9"/>
      <c r="R83" s="9"/>
      <c r="S83" s="9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:39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9"/>
      <c r="L84" s="9"/>
      <c r="M84" s="9"/>
      <c r="N84" s="9"/>
      <c r="O84" s="9"/>
      <c r="P84" s="9"/>
      <c r="Q84" s="9"/>
      <c r="R84" s="9"/>
      <c r="S84" s="9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39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9"/>
      <c r="L85" s="9"/>
      <c r="M85" s="9"/>
      <c r="N85" s="9"/>
      <c r="O85" s="9"/>
      <c r="P85" s="9"/>
      <c r="Q85" s="9"/>
      <c r="R85" s="9"/>
      <c r="S85" s="9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:39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9"/>
      <c r="L86" s="9"/>
      <c r="M86" s="9"/>
      <c r="N86" s="9"/>
      <c r="O86" s="9"/>
      <c r="P86" s="9"/>
      <c r="Q86" s="9"/>
      <c r="R86" s="9"/>
      <c r="S86" s="9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:39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9"/>
      <c r="L87" s="9"/>
      <c r="M87" s="9"/>
      <c r="N87" s="9"/>
      <c r="O87" s="9"/>
      <c r="P87" s="9"/>
      <c r="Q87" s="9"/>
      <c r="R87" s="9"/>
      <c r="S87" s="9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  <row r="88" spans="1:39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9"/>
      <c r="L88" s="9"/>
      <c r="M88" s="9"/>
      <c r="N88" s="9"/>
      <c r="O88" s="9"/>
      <c r="P88" s="9"/>
      <c r="Q88" s="9"/>
      <c r="R88" s="9"/>
      <c r="S88" s="9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3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9"/>
      <c r="L89" s="9"/>
      <c r="M89" s="9"/>
      <c r="N89" s="9"/>
      <c r="O89" s="9"/>
      <c r="P89" s="9"/>
      <c r="Q89" s="9"/>
      <c r="R89" s="9"/>
      <c r="S89" s="9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</row>
    <row r="90" spans="1:39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9"/>
      <c r="L90" s="9"/>
      <c r="M90" s="9"/>
      <c r="N90" s="9"/>
      <c r="O90" s="9"/>
      <c r="P90" s="9"/>
      <c r="Q90" s="9"/>
      <c r="R90" s="9"/>
      <c r="S90" s="9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</row>
    <row r="91" spans="1:39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9"/>
      <c r="L91" s="9"/>
      <c r="M91" s="9"/>
      <c r="N91" s="9"/>
      <c r="O91" s="9"/>
      <c r="P91" s="9"/>
      <c r="Q91" s="9"/>
      <c r="R91" s="9"/>
      <c r="S91" s="9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1:39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9"/>
      <c r="L92" s="9"/>
      <c r="M92" s="9"/>
      <c r="N92" s="9"/>
      <c r="O92" s="9"/>
      <c r="P92" s="9"/>
      <c r="Q92" s="9"/>
      <c r="R92" s="9"/>
      <c r="S92" s="9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39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9"/>
      <c r="L93" s="9"/>
      <c r="M93" s="9"/>
      <c r="N93" s="9"/>
      <c r="O93" s="9"/>
      <c r="P93" s="9"/>
      <c r="Q93" s="9"/>
      <c r="R93" s="9"/>
      <c r="S93" s="9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39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9"/>
      <c r="L94" s="9"/>
      <c r="M94" s="9"/>
      <c r="N94" s="9"/>
      <c r="O94" s="9"/>
      <c r="P94" s="9"/>
      <c r="Q94" s="9"/>
      <c r="R94" s="9"/>
      <c r="S94" s="9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39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9"/>
      <c r="L95" s="9"/>
      <c r="M95" s="9"/>
      <c r="N95" s="9"/>
      <c r="O95" s="9"/>
      <c r="P95" s="9"/>
      <c r="Q95" s="9"/>
      <c r="R95" s="9"/>
      <c r="S95" s="9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1:39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9"/>
      <c r="L96" s="9"/>
      <c r="M96" s="9"/>
      <c r="N96" s="9"/>
      <c r="O96" s="9"/>
      <c r="P96" s="9"/>
      <c r="Q96" s="9"/>
      <c r="R96" s="9"/>
      <c r="S96" s="9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1:39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9"/>
      <c r="L97" s="9"/>
      <c r="M97" s="9"/>
      <c r="N97" s="9"/>
      <c r="O97" s="9"/>
      <c r="P97" s="9"/>
      <c r="Q97" s="9"/>
      <c r="R97" s="9"/>
      <c r="S97" s="9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1:39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9"/>
      <c r="L98" s="9"/>
      <c r="M98" s="9"/>
      <c r="N98" s="9"/>
      <c r="O98" s="9"/>
      <c r="P98" s="9"/>
      <c r="Q98" s="9"/>
      <c r="R98" s="9"/>
      <c r="S98" s="9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</row>
    <row r="99" spans="1:3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9"/>
      <c r="L99" s="9"/>
      <c r="M99" s="9"/>
      <c r="N99" s="9"/>
      <c r="O99" s="9"/>
      <c r="P99" s="9"/>
      <c r="Q99" s="9"/>
      <c r="R99" s="9"/>
      <c r="S99" s="9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0" spans="1:39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9"/>
      <c r="L100" s="9"/>
      <c r="M100" s="9"/>
      <c r="N100" s="9"/>
      <c r="O100" s="9"/>
      <c r="P100" s="9"/>
      <c r="Q100" s="9"/>
      <c r="R100" s="9"/>
      <c r="S100" s="9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9"/>
      <c r="L101" s="9"/>
      <c r="M101" s="9"/>
      <c r="N101" s="9"/>
      <c r="O101" s="9"/>
      <c r="P101" s="9"/>
      <c r="Q101" s="9"/>
      <c r="R101" s="9"/>
      <c r="S101" s="9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1:39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9"/>
      <c r="L102" s="9"/>
      <c r="M102" s="9"/>
      <c r="N102" s="9"/>
      <c r="O102" s="9"/>
      <c r="P102" s="9"/>
      <c r="Q102" s="9"/>
      <c r="R102" s="9"/>
      <c r="S102" s="9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39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9"/>
      <c r="L103" s="9"/>
      <c r="M103" s="9"/>
      <c r="N103" s="9"/>
      <c r="O103" s="9"/>
      <c r="P103" s="9"/>
      <c r="Q103" s="9"/>
      <c r="R103" s="9"/>
      <c r="S103" s="9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</row>
    <row r="104" spans="1:39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9"/>
      <c r="L104" s="9"/>
      <c r="M104" s="9"/>
      <c r="N104" s="9"/>
      <c r="O104" s="9"/>
      <c r="P104" s="9"/>
      <c r="Q104" s="9"/>
      <c r="R104" s="9"/>
      <c r="S104" s="9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</row>
    <row r="105" spans="1:39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9"/>
      <c r="L105" s="9"/>
      <c r="M105" s="9"/>
      <c r="N105" s="9"/>
      <c r="O105" s="9"/>
      <c r="P105" s="9"/>
      <c r="Q105" s="9"/>
      <c r="R105" s="9"/>
      <c r="S105" s="9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</row>
    <row r="106" spans="1:39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9"/>
      <c r="L106" s="9"/>
      <c r="M106" s="9"/>
      <c r="N106" s="9"/>
      <c r="O106" s="9"/>
      <c r="P106" s="9"/>
      <c r="Q106" s="9"/>
      <c r="R106" s="9"/>
      <c r="S106" s="9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</row>
    <row r="107" spans="1:39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9"/>
      <c r="L107" s="9"/>
      <c r="M107" s="9"/>
      <c r="N107" s="9"/>
      <c r="O107" s="9"/>
      <c r="P107" s="9"/>
      <c r="Q107" s="9"/>
      <c r="R107" s="9"/>
      <c r="S107" s="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</row>
    <row r="108" spans="1:39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9"/>
      <c r="L108" s="9"/>
      <c r="M108" s="9"/>
      <c r="N108" s="9"/>
      <c r="O108" s="9"/>
      <c r="P108" s="9"/>
      <c r="Q108" s="9"/>
      <c r="R108" s="9"/>
      <c r="S108" s="9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</row>
    <row r="109" spans="1:3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9"/>
      <c r="L109" s="9"/>
      <c r="M109" s="9"/>
      <c r="N109" s="9"/>
      <c r="O109" s="9"/>
      <c r="P109" s="9"/>
      <c r="Q109" s="9"/>
      <c r="R109" s="9"/>
      <c r="S109" s="9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</row>
    <row r="110" spans="1:39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9"/>
      <c r="L110" s="9"/>
      <c r="M110" s="9"/>
      <c r="N110" s="9"/>
      <c r="O110" s="9"/>
      <c r="P110" s="9"/>
      <c r="Q110" s="9"/>
      <c r="R110" s="9"/>
      <c r="S110" s="9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</row>
    <row r="111" spans="1:39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9"/>
      <c r="L111" s="9"/>
      <c r="M111" s="9"/>
      <c r="N111" s="9"/>
      <c r="O111" s="9"/>
      <c r="P111" s="9"/>
      <c r="Q111" s="9"/>
      <c r="R111" s="9"/>
      <c r="S111" s="9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1:39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9"/>
      <c r="L112" s="9"/>
      <c r="M112" s="9"/>
      <c r="N112" s="9"/>
      <c r="O112" s="9"/>
      <c r="P112" s="9"/>
      <c r="Q112" s="9"/>
      <c r="R112" s="9"/>
      <c r="S112" s="9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</row>
    <row r="113" spans="1:39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9"/>
      <c r="L113" s="9"/>
      <c r="M113" s="9"/>
      <c r="N113" s="9"/>
      <c r="O113" s="9"/>
      <c r="P113" s="9"/>
      <c r="Q113" s="9"/>
      <c r="R113" s="9"/>
      <c r="S113" s="9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</row>
    <row r="114" spans="1:39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9"/>
      <c r="L114" s="9"/>
      <c r="M114" s="9"/>
      <c r="N114" s="9"/>
      <c r="O114" s="9"/>
      <c r="P114" s="9"/>
      <c r="Q114" s="9"/>
      <c r="R114" s="9"/>
      <c r="S114" s="9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</row>
    <row r="115" spans="1:39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9"/>
      <c r="L115" s="9"/>
      <c r="M115" s="9"/>
      <c r="N115" s="9"/>
      <c r="O115" s="9"/>
      <c r="P115" s="9"/>
      <c r="Q115" s="9"/>
      <c r="R115" s="9"/>
      <c r="S115" s="9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</row>
    <row r="116" spans="1:39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9"/>
      <c r="L116" s="9"/>
      <c r="M116" s="9"/>
      <c r="N116" s="9"/>
      <c r="O116" s="9"/>
      <c r="P116" s="9"/>
      <c r="Q116" s="9"/>
      <c r="R116" s="9"/>
      <c r="S116" s="9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</row>
    <row r="117" spans="1:39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9"/>
      <c r="L117" s="9"/>
      <c r="M117" s="9"/>
      <c r="N117" s="9"/>
      <c r="O117" s="9"/>
      <c r="P117" s="9"/>
      <c r="Q117" s="9"/>
      <c r="R117" s="9"/>
      <c r="S117" s="9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</row>
    <row r="118" spans="1:39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9"/>
      <c r="L118" s="9"/>
      <c r="M118" s="9"/>
      <c r="N118" s="9"/>
      <c r="O118" s="9"/>
      <c r="P118" s="9"/>
      <c r="Q118" s="9"/>
      <c r="R118" s="9"/>
      <c r="S118" s="9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</row>
    <row r="119" spans="1:3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9"/>
      <c r="L119" s="9"/>
      <c r="M119" s="9"/>
      <c r="N119" s="9"/>
      <c r="O119" s="9"/>
      <c r="P119" s="9"/>
      <c r="Q119" s="9"/>
      <c r="R119" s="9"/>
      <c r="S119" s="9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</row>
    <row r="120" spans="1:39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9"/>
      <c r="L120" s="9"/>
      <c r="M120" s="9"/>
      <c r="N120" s="9"/>
      <c r="O120" s="9"/>
      <c r="P120" s="9"/>
      <c r="Q120" s="9"/>
      <c r="R120" s="9"/>
      <c r="S120" s="9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</row>
    <row r="121" spans="1:39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9"/>
      <c r="L121" s="9"/>
      <c r="M121" s="9"/>
      <c r="N121" s="9"/>
      <c r="O121" s="9"/>
      <c r="P121" s="9"/>
      <c r="Q121" s="9"/>
      <c r="R121" s="9"/>
      <c r="S121" s="9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</row>
    <row r="122" spans="1:39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9"/>
      <c r="L122" s="9"/>
      <c r="M122" s="9"/>
      <c r="N122" s="9"/>
      <c r="O122" s="9"/>
      <c r="P122" s="9"/>
      <c r="Q122" s="9"/>
      <c r="R122" s="9"/>
      <c r="S122" s="9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</row>
    <row r="123" spans="1:39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9"/>
      <c r="L123" s="9"/>
      <c r="M123" s="9"/>
      <c r="N123" s="9"/>
      <c r="O123" s="9"/>
      <c r="P123" s="9"/>
      <c r="Q123" s="9"/>
      <c r="R123" s="9"/>
      <c r="S123" s="9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</row>
    <row r="124" spans="1:39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9"/>
      <c r="L124" s="9"/>
      <c r="M124" s="9"/>
      <c r="N124" s="9"/>
      <c r="O124" s="9"/>
      <c r="P124" s="9"/>
      <c r="Q124" s="9"/>
      <c r="R124" s="9"/>
      <c r="S124" s="9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</row>
    <row r="125" spans="1:39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9"/>
      <c r="L125" s="9"/>
      <c r="M125" s="9"/>
      <c r="N125" s="9"/>
      <c r="O125" s="9"/>
      <c r="P125" s="9"/>
      <c r="Q125" s="9"/>
      <c r="R125" s="9"/>
      <c r="S125" s="9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</row>
    <row r="126" spans="1:39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9"/>
      <c r="L126" s="9"/>
      <c r="M126" s="9"/>
      <c r="N126" s="9"/>
      <c r="O126" s="9"/>
      <c r="P126" s="9"/>
      <c r="Q126" s="9"/>
      <c r="R126" s="9"/>
      <c r="S126" s="9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</row>
    <row r="127" spans="1:39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9"/>
      <c r="L127" s="9"/>
      <c r="M127" s="9"/>
      <c r="N127" s="9"/>
      <c r="O127" s="9"/>
      <c r="P127" s="9"/>
      <c r="Q127" s="9"/>
      <c r="R127" s="9"/>
      <c r="S127" s="9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</row>
    <row r="128" spans="1:39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9"/>
      <c r="L128" s="9"/>
      <c r="M128" s="9"/>
      <c r="N128" s="9"/>
      <c r="O128" s="9"/>
      <c r="P128" s="9"/>
      <c r="Q128" s="9"/>
      <c r="R128" s="9"/>
      <c r="S128" s="9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</row>
    <row r="129" spans="1:3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9"/>
      <c r="L129" s="9"/>
      <c r="M129" s="9"/>
      <c r="N129" s="9"/>
      <c r="O129" s="9"/>
      <c r="P129" s="9"/>
      <c r="Q129" s="9"/>
      <c r="R129" s="9"/>
      <c r="S129" s="9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</row>
    <row r="130" spans="1:39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9"/>
      <c r="L130" s="9"/>
      <c r="M130" s="9"/>
      <c r="N130" s="9"/>
      <c r="O130" s="9"/>
      <c r="P130" s="9"/>
      <c r="Q130" s="9"/>
      <c r="R130" s="9"/>
      <c r="S130" s="9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</row>
    <row r="131" spans="1:39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9"/>
      <c r="L131" s="9"/>
      <c r="M131" s="9"/>
      <c r="N131" s="9"/>
      <c r="O131" s="9"/>
      <c r="P131" s="9"/>
      <c r="Q131" s="9"/>
      <c r="R131" s="9"/>
      <c r="S131" s="9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</row>
    <row r="132" spans="1:39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9"/>
      <c r="L132" s="9"/>
      <c r="M132" s="9"/>
      <c r="N132" s="9"/>
      <c r="O132" s="9"/>
      <c r="P132" s="9"/>
      <c r="Q132" s="9"/>
      <c r="R132" s="9"/>
      <c r="S132" s="9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</row>
    <row r="133" spans="1:39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9"/>
      <c r="L133" s="9"/>
      <c r="M133" s="9"/>
      <c r="N133" s="9"/>
      <c r="O133" s="9"/>
      <c r="P133" s="9"/>
      <c r="Q133" s="9"/>
      <c r="R133" s="9"/>
      <c r="S133" s="9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</row>
    <row r="134" spans="1:39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9"/>
      <c r="L134" s="9"/>
      <c r="M134" s="9"/>
      <c r="N134" s="9"/>
      <c r="O134" s="9"/>
      <c r="P134" s="9"/>
      <c r="Q134" s="9"/>
      <c r="R134" s="9"/>
      <c r="S134" s="9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</row>
    <row r="135" spans="1:39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9"/>
      <c r="L135" s="9"/>
      <c r="M135" s="9"/>
      <c r="N135" s="9"/>
      <c r="O135" s="9"/>
      <c r="P135" s="9"/>
      <c r="Q135" s="9"/>
      <c r="R135" s="9"/>
      <c r="S135" s="9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</row>
    <row r="136" spans="1:39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9"/>
      <c r="L136" s="9"/>
      <c r="M136" s="9"/>
      <c r="N136" s="9"/>
      <c r="O136" s="9"/>
      <c r="P136" s="9"/>
      <c r="Q136" s="9"/>
      <c r="R136" s="9"/>
      <c r="S136" s="9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</row>
    <row r="137" spans="1:39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9"/>
      <c r="L137" s="9"/>
      <c r="M137" s="9"/>
      <c r="N137" s="9"/>
      <c r="O137" s="9"/>
      <c r="P137" s="9"/>
      <c r="Q137" s="9"/>
      <c r="R137" s="9"/>
      <c r="S137" s="9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</row>
    <row r="138" spans="1:39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9"/>
      <c r="L138" s="9"/>
      <c r="M138" s="9"/>
      <c r="N138" s="9"/>
      <c r="O138" s="9"/>
      <c r="P138" s="9"/>
      <c r="Q138" s="9"/>
      <c r="R138" s="9"/>
      <c r="S138" s="9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</row>
    <row r="139" spans="1: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9"/>
      <c r="L139" s="9"/>
      <c r="M139" s="9"/>
      <c r="N139" s="9"/>
      <c r="O139" s="9"/>
      <c r="P139" s="9"/>
      <c r="Q139" s="9"/>
      <c r="R139" s="9"/>
      <c r="S139" s="9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</row>
    <row r="140" spans="1:39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9"/>
      <c r="L140" s="9"/>
      <c r="M140" s="9"/>
      <c r="N140" s="9"/>
      <c r="O140" s="9"/>
      <c r="P140" s="9"/>
      <c r="Q140" s="9"/>
      <c r="R140" s="9"/>
      <c r="S140" s="9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</row>
    <row r="141" spans="1:39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9"/>
      <c r="L141" s="9"/>
      <c r="M141" s="9"/>
      <c r="N141" s="9"/>
      <c r="O141" s="9"/>
      <c r="P141" s="9"/>
      <c r="Q141" s="9"/>
      <c r="R141" s="9"/>
      <c r="S141" s="9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</row>
    <row r="142" spans="1:39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9"/>
      <c r="L142" s="9"/>
      <c r="M142" s="9"/>
      <c r="N142" s="9"/>
      <c r="O142" s="9"/>
      <c r="P142" s="9"/>
      <c r="Q142" s="9"/>
      <c r="R142" s="9"/>
      <c r="S142" s="9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</row>
    <row r="143" spans="1:39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9"/>
      <c r="L143" s="9"/>
      <c r="M143" s="9"/>
      <c r="N143" s="9"/>
      <c r="O143" s="9"/>
      <c r="P143" s="9"/>
      <c r="Q143" s="9"/>
      <c r="R143" s="9"/>
      <c r="S143" s="9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</row>
    <row r="144" spans="1:39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9"/>
      <c r="L144" s="9"/>
      <c r="M144" s="9"/>
      <c r="N144" s="9"/>
      <c r="O144" s="9"/>
      <c r="P144" s="9"/>
      <c r="Q144" s="9"/>
      <c r="R144" s="9"/>
      <c r="S144" s="9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</row>
    <row r="145" spans="1:39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9"/>
      <c r="L145" s="9"/>
      <c r="M145" s="9"/>
      <c r="N145" s="9"/>
      <c r="O145" s="9"/>
      <c r="P145" s="9"/>
      <c r="Q145" s="9"/>
      <c r="R145" s="9"/>
      <c r="S145" s="9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</row>
    <row r="146" spans="1:39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9"/>
      <c r="L146" s="9"/>
      <c r="M146" s="9"/>
      <c r="N146" s="9"/>
      <c r="O146" s="9"/>
      <c r="P146" s="9"/>
      <c r="Q146" s="9"/>
      <c r="R146" s="9"/>
      <c r="S146" s="9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</row>
    <row r="147" spans="1:39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9"/>
      <c r="L147" s="9"/>
      <c r="M147" s="9"/>
      <c r="N147" s="9"/>
      <c r="O147" s="9"/>
      <c r="P147" s="9"/>
      <c r="Q147" s="9"/>
      <c r="R147" s="9"/>
      <c r="S147" s="9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</row>
    <row r="148" spans="1:39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9"/>
      <c r="L148" s="9"/>
      <c r="M148" s="9"/>
      <c r="N148" s="9"/>
      <c r="O148" s="9"/>
      <c r="P148" s="9"/>
      <c r="Q148" s="9"/>
      <c r="R148" s="9"/>
      <c r="S148" s="9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</row>
    <row r="149" spans="1:3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9"/>
      <c r="L149" s="9"/>
      <c r="M149" s="9"/>
      <c r="N149" s="9"/>
      <c r="O149" s="9"/>
      <c r="P149" s="9"/>
      <c r="Q149" s="9"/>
      <c r="R149" s="9"/>
      <c r="S149" s="9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</row>
    <row r="150" spans="1:39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9"/>
      <c r="L150" s="9"/>
      <c r="M150" s="9"/>
      <c r="N150" s="9"/>
      <c r="O150" s="9"/>
      <c r="P150" s="9"/>
      <c r="Q150" s="9"/>
      <c r="R150" s="9"/>
      <c r="S150" s="9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</row>
    <row r="151" spans="1:39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9"/>
      <c r="L151" s="9"/>
      <c r="M151" s="9"/>
      <c r="N151" s="9"/>
      <c r="O151" s="9"/>
      <c r="P151" s="9"/>
      <c r="Q151" s="9"/>
      <c r="R151" s="9"/>
      <c r="S151" s="9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</row>
    <row r="152" spans="1:39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9"/>
      <c r="L152" s="9"/>
      <c r="M152" s="9"/>
      <c r="N152" s="9"/>
      <c r="O152" s="9"/>
      <c r="P152" s="9"/>
      <c r="Q152" s="9"/>
      <c r="R152" s="9"/>
      <c r="S152" s="9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</row>
    <row r="153" spans="1:39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9"/>
      <c r="L153" s="9"/>
      <c r="M153" s="9"/>
      <c r="N153" s="9"/>
      <c r="O153" s="9"/>
      <c r="P153" s="9"/>
      <c r="Q153" s="9"/>
      <c r="R153" s="9"/>
      <c r="S153" s="9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</row>
    <row r="154" spans="1:39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9"/>
      <c r="L154" s="9"/>
      <c r="M154" s="9"/>
      <c r="N154" s="9"/>
      <c r="O154" s="9"/>
      <c r="P154" s="9"/>
      <c r="Q154" s="9"/>
      <c r="R154" s="9"/>
      <c r="S154" s="9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</row>
    <row r="155" spans="1:39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9"/>
      <c r="L155" s="9"/>
      <c r="M155" s="9"/>
      <c r="N155" s="9"/>
      <c r="O155" s="9"/>
      <c r="P155" s="9"/>
      <c r="Q155" s="9"/>
      <c r="R155" s="9"/>
      <c r="S155" s="9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</row>
    <row r="156" spans="1:39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9"/>
      <c r="L156" s="9"/>
      <c r="M156" s="9"/>
      <c r="N156" s="9"/>
      <c r="O156" s="9"/>
      <c r="P156" s="9"/>
      <c r="Q156" s="9"/>
      <c r="R156" s="9"/>
      <c r="S156" s="9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</row>
    <row r="157" spans="1:39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9"/>
      <c r="L157" s="9"/>
      <c r="M157" s="9"/>
      <c r="N157" s="9"/>
      <c r="O157" s="9"/>
      <c r="P157" s="9"/>
      <c r="Q157" s="9"/>
      <c r="R157" s="9"/>
      <c r="S157" s="9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</row>
    <row r="158" spans="1:39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9"/>
      <c r="L158" s="9"/>
      <c r="M158" s="9"/>
      <c r="N158" s="9"/>
      <c r="O158" s="9"/>
      <c r="P158" s="9"/>
      <c r="Q158" s="9"/>
      <c r="R158" s="9"/>
      <c r="S158" s="9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</row>
    <row r="159" spans="1:3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9"/>
      <c r="L159" s="9"/>
      <c r="M159" s="9"/>
      <c r="N159" s="9"/>
      <c r="O159" s="9"/>
      <c r="P159" s="9"/>
      <c r="Q159" s="9"/>
      <c r="R159" s="9"/>
      <c r="S159" s="9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</row>
    <row r="160" spans="1:39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9"/>
      <c r="L160" s="9"/>
      <c r="M160" s="9"/>
      <c r="N160" s="9"/>
      <c r="O160" s="9"/>
      <c r="P160" s="9"/>
      <c r="Q160" s="9"/>
      <c r="R160" s="9"/>
      <c r="S160" s="9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9"/>
      <c r="L161" s="9"/>
      <c r="M161" s="9"/>
      <c r="N161" s="9"/>
      <c r="O161" s="9"/>
      <c r="P161" s="9"/>
      <c r="Q161" s="9"/>
      <c r="R161" s="9"/>
      <c r="S161" s="9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</row>
    <row r="162" spans="1:39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9"/>
      <c r="L162" s="9"/>
      <c r="M162" s="9"/>
      <c r="N162" s="9"/>
      <c r="O162" s="9"/>
      <c r="P162" s="9"/>
      <c r="Q162" s="9"/>
      <c r="R162" s="9"/>
      <c r="S162" s="9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</row>
    <row r="163" spans="1:39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9"/>
      <c r="L163" s="9"/>
      <c r="M163" s="9"/>
      <c r="N163" s="9"/>
      <c r="O163" s="9"/>
      <c r="P163" s="9"/>
      <c r="Q163" s="9"/>
      <c r="R163" s="9"/>
      <c r="S163" s="9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</row>
    <row r="164" spans="1:39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9"/>
      <c r="L164" s="9"/>
      <c r="M164" s="9"/>
      <c r="N164" s="9"/>
      <c r="O164" s="9"/>
      <c r="P164" s="9"/>
      <c r="Q164" s="9"/>
      <c r="R164" s="9"/>
      <c r="S164" s="9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</row>
    <row r="165" spans="1:39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9"/>
      <c r="L165" s="9"/>
      <c r="M165" s="9"/>
      <c r="N165" s="9"/>
      <c r="O165" s="9"/>
      <c r="P165" s="9"/>
      <c r="Q165" s="9"/>
      <c r="R165" s="9"/>
      <c r="S165" s="9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</row>
    <row r="166" spans="1:39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9"/>
      <c r="L166" s="9"/>
      <c r="M166" s="9"/>
      <c r="N166" s="9"/>
      <c r="O166" s="9"/>
      <c r="P166" s="9"/>
      <c r="Q166" s="9"/>
      <c r="R166" s="9"/>
      <c r="S166" s="9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9"/>
      <c r="L167" s="9"/>
      <c r="M167" s="9"/>
      <c r="N167" s="9"/>
      <c r="O167" s="9"/>
      <c r="P167" s="9"/>
      <c r="Q167" s="9"/>
      <c r="R167" s="9"/>
      <c r="S167" s="9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</row>
    <row r="168" spans="1:39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9"/>
      <c r="L168" s="9"/>
      <c r="M168" s="9"/>
      <c r="N168" s="9"/>
      <c r="O168" s="9"/>
      <c r="P168" s="9"/>
      <c r="Q168" s="9"/>
      <c r="R168" s="9"/>
      <c r="S168" s="9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</row>
    <row r="169" spans="1:3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9"/>
      <c r="L169" s="9"/>
      <c r="M169" s="9"/>
      <c r="N169" s="9"/>
      <c r="O169" s="9"/>
      <c r="P169" s="9"/>
      <c r="Q169" s="9"/>
      <c r="R169" s="9"/>
      <c r="S169" s="9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</row>
    <row r="170" spans="1:39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9"/>
      <c r="L170" s="9"/>
      <c r="M170" s="9"/>
      <c r="N170" s="9"/>
      <c r="O170" s="9"/>
      <c r="P170" s="9"/>
      <c r="Q170" s="9"/>
      <c r="R170" s="9"/>
      <c r="S170" s="9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</row>
    <row r="171" spans="1:39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9"/>
      <c r="L171" s="9"/>
      <c r="M171" s="9"/>
      <c r="N171" s="9"/>
      <c r="O171" s="9"/>
      <c r="P171" s="9"/>
      <c r="Q171" s="9"/>
      <c r="R171" s="9"/>
      <c r="S171" s="9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</row>
    <row r="172" spans="1:39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9"/>
      <c r="L172" s="9"/>
      <c r="M172" s="9"/>
      <c r="N172" s="9"/>
      <c r="O172" s="9"/>
      <c r="P172" s="9"/>
      <c r="Q172" s="9"/>
      <c r="R172" s="9"/>
      <c r="S172" s="9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</row>
    <row r="173" spans="1:39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9"/>
      <c r="L173" s="9"/>
      <c r="M173" s="9"/>
      <c r="N173" s="9"/>
      <c r="O173" s="9"/>
      <c r="P173" s="9"/>
      <c r="Q173" s="9"/>
      <c r="R173" s="9"/>
      <c r="S173" s="9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</row>
    <row r="174" spans="1:39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9"/>
      <c r="L174" s="9"/>
      <c r="M174" s="9"/>
      <c r="N174" s="9"/>
      <c r="O174" s="9"/>
      <c r="P174" s="9"/>
      <c r="Q174" s="9"/>
      <c r="R174" s="9"/>
      <c r="S174" s="9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</row>
    <row r="175" spans="1:39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9"/>
      <c r="L175" s="9"/>
      <c r="M175" s="9"/>
      <c r="N175" s="9"/>
      <c r="O175" s="9"/>
      <c r="P175" s="9"/>
      <c r="Q175" s="9"/>
      <c r="R175" s="9"/>
      <c r="S175" s="9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</row>
    <row r="176" spans="1:39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9"/>
      <c r="L176" s="9"/>
      <c r="M176" s="9"/>
      <c r="N176" s="9"/>
      <c r="O176" s="9"/>
      <c r="P176" s="9"/>
      <c r="Q176" s="9"/>
      <c r="R176" s="9"/>
      <c r="S176" s="9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</row>
    <row r="177" spans="1:39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9"/>
      <c r="L177" s="9"/>
      <c r="M177" s="9"/>
      <c r="N177" s="9"/>
      <c r="O177" s="9"/>
      <c r="P177" s="9"/>
      <c r="Q177" s="9"/>
      <c r="R177" s="9"/>
      <c r="S177" s="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</row>
    <row r="178" spans="1:39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9"/>
      <c r="L178" s="9"/>
      <c r="M178" s="9"/>
      <c r="N178" s="9"/>
      <c r="O178" s="9"/>
      <c r="P178" s="9"/>
      <c r="Q178" s="9"/>
      <c r="R178" s="9"/>
      <c r="S178" s="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</row>
    <row r="179" spans="1:3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9"/>
      <c r="L179" s="9"/>
      <c r="M179" s="9"/>
      <c r="N179" s="9"/>
      <c r="O179" s="9"/>
      <c r="P179" s="9"/>
      <c r="Q179" s="9"/>
      <c r="R179" s="9"/>
      <c r="S179" s="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</row>
    <row r="180" spans="1:39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9"/>
      <c r="L180" s="9"/>
      <c r="M180" s="9"/>
      <c r="N180" s="9"/>
      <c r="O180" s="9"/>
      <c r="P180" s="9"/>
      <c r="Q180" s="9"/>
      <c r="R180" s="9"/>
      <c r="S180" s="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</row>
    <row r="181" spans="1:39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9"/>
      <c r="L181" s="9"/>
      <c r="M181" s="9"/>
      <c r="N181" s="9"/>
      <c r="O181" s="9"/>
      <c r="P181" s="9"/>
      <c r="Q181" s="9"/>
      <c r="R181" s="9"/>
      <c r="S181" s="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</row>
    <row r="182" spans="1:39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9"/>
      <c r="L182" s="9"/>
      <c r="M182" s="9"/>
      <c r="N182" s="9"/>
      <c r="O182" s="9"/>
      <c r="P182" s="9"/>
      <c r="Q182" s="9"/>
      <c r="R182" s="9"/>
      <c r="S182" s="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</row>
    <row r="183" spans="1:39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9"/>
      <c r="L183" s="9"/>
      <c r="M183" s="9"/>
      <c r="N183" s="9"/>
      <c r="O183" s="9"/>
      <c r="P183" s="9"/>
      <c r="Q183" s="9"/>
      <c r="R183" s="9"/>
      <c r="S183" s="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</row>
    <row r="184" spans="1:39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9"/>
      <c r="L184" s="9"/>
      <c r="M184" s="9"/>
      <c r="N184" s="9"/>
      <c r="O184" s="9"/>
      <c r="P184" s="9"/>
      <c r="Q184" s="9"/>
      <c r="R184" s="9"/>
      <c r="S184" s="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</row>
    <row r="185" spans="1:39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9"/>
      <c r="L185" s="9"/>
      <c r="M185" s="9"/>
      <c r="N185" s="9"/>
      <c r="O185" s="9"/>
      <c r="P185" s="9"/>
      <c r="Q185" s="9"/>
      <c r="R185" s="9"/>
      <c r="S185" s="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</row>
    <row r="186" spans="1:39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9"/>
      <c r="L186" s="9"/>
      <c r="M186" s="9"/>
      <c r="N186" s="9"/>
      <c r="O186" s="9"/>
      <c r="P186" s="9"/>
      <c r="Q186" s="9"/>
      <c r="R186" s="9"/>
      <c r="S186" s="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</row>
    <row r="187" spans="1:39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9"/>
      <c r="L187" s="9"/>
      <c r="M187" s="9"/>
      <c r="N187" s="9"/>
      <c r="O187" s="9"/>
      <c r="P187" s="9"/>
      <c r="Q187" s="9"/>
      <c r="R187" s="9"/>
      <c r="S187" s="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</row>
    <row r="188" spans="1:39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9"/>
      <c r="L188" s="9"/>
      <c r="M188" s="9"/>
      <c r="N188" s="9"/>
      <c r="O188" s="9"/>
      <c r="P188" s="9"/>
      <c r="Q188" s="9"/>
      <c r="R188" s="9"/>
      <c r="S188" s="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</row>
    <row r="189" spans="1:3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9"/>
      <c r="L189" s="9"/>
      <c r="M189" s="9"/>
      <c r="N189" s="9"/>
      <c r="O189" s="9"/>
      <c r="P189" s="9"/>
      <c r="Q189" s="9"/>
      <c r="R189" s="9"/>
      <c r="S189" s="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</row>
    <row r="190" spans="1:39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9"/>
      <c r="L190" s="9"/>
      <c r="M190" s="9"/>
      <c r="N190" s="9"/>
      <c r="O190" s="9"/>
      <c r="P190" s="9"/>
      <c r="Q190" s="9"/>
      <c r="R190" s="9"/>
      <c r="S190" s="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</row>
    <row r="191" spans="1:39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9"/>
      <c r="L191" s="9"/>
      <c r="M191" s="9"/>
      <c r="N191" s="9"/>
      <c r="O191" s="9"/>
      <c r="P191" s="9"/>
      <c r="Q191" s="9"/>
      <c r="R191" s="9"/>
      <c r="S191" s="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</row>
    <row r="192" spans="1:39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9"/>
      <c r="L192" s="9"/>
      <c r="M192" s="9"/>
      <c r="N192" s="9"/>
      <c r="O192" s="9"/>
      <c r="P192" s="9"/>
      <c r="Q192" s="9"/>
      <c r="R192" s="9"/>
      <c r="S192" s="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</row>
    <row r="193" spans="1:39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9"/>
      <c r="L193" s="9"/>
      <c r="M193" s="9"/>
      <c r="N193" s="9"/>
      <c r="O193" s="9"/>
      <c r="P193" s="9"/>
      <c r="Q193" s="9"/>
      <c r="R193" s="9"/>
      <c r="S193" s="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</row>
    <row r="194" spans="1:39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9"/>
      <c r="L194" s="9"/>
      <c r="M194" s="9"/>
      <c r="N194" s="9"/>
      <c r="O194" s="9"/>
      <c r="P194" s="9"/>
      <c r="Q194" s="9"/>
      <c r="R194" s="9"/>
      <c r="S194" s="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</row>
    <row r="195" spans="1:39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9"/>
      <c r="L195" s="9"/>
      <c r="M195" s="9"/>
      <c r="N195" s="9"/>
      <c r="O195" s="9"/>
      <c r="P195" s="9"/>
      <c r="Q195" s="9"/>
      <c r="R195" s="9"/>
      <c r="S195" s="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</row>
    <row r="196" spans="1:39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9"/>
      <c r="L196" s="9"/>
      <c r="M196" s="9"/>
      <c r="N196" s="9"/>
      <c r="O196" s="9"/>
      <c r="P196" s="9"/>
      <c r="Q196" s="9"/>
      <c r="R196" s="9"/>
      <c r="S196" s="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</row>
    <row r="197" spans="1:39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9"/>
      <c r="L197" s="9"/>
      <c r="M197" s="9"/>
      <c r="N197" s="9"/>
      <c r="O197" s="9"/>
      <c r="P197" s="9"/>
      <c r="Q197" s="9"/>
      <c r="R197" s="9"/>
      <c r="S197" s="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</row>
    <row r="198" spans="1:39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9"/>
      <c r="L198" s="9"/>
      <c r="M198" s="9"/>
      <c r="N198" s="9"/>
      <c r="O198" s="9"/>
      <c r="P198" s="9"/>
      <c r="Q198" s="9"/>
      <c r="R198" s="9"/>
      <c r="S198" s="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</row>
    <row r="199" spans="1:3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9"/>
      <c r="L199" s="9"/>
      <c r="M199" s="9"/>
      <c r="N199" s="9"/>
      <c r="O199" s="9"/>
      <c r="P199" s="9"/>
      <c r="Q199" s="9"/>
      <c r="R199" s="9"/>
      <c r="S199" s="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</row>
    <row r="200" spans="1:39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9"/>
      <c r="L200" s="9"/>
      <c r="M200" s="9"/>
      <c r="N200" s="9"/>
      <c r="O200" s="9"/>
      <c r="P200" s="9"/>
      <c r="Q200" s="9"/>
      <c r="R200" s="9"/>
      <c r="S200" s="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</row>
    <row r="201" spans="1:39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9"/>
      <c r="L201" s="9"/>
      <c r="M201" s="9"/>
      <c r="N201" s="9"/>
      <c r="O201" s="9"/>
      <c r="P201" s="9"/>
      <c r="Q201" s="9"/>
      <c r="R201" s="9"/>
      <c r="S201" s="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</row>
    <row r="202" spans="1:39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9"/>
      <c r="L202" s="9"/>
      <c r="M202" s="9"/>
      <c r="N202" s="9"/>
      <c r="O202" s="9"/>
      <c r="P202" s="9"/>
      <c r="Q202" s="9"/>
      <c r="R202" s="9"/>
      <c r="S202" s="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</row>
    <row r="203" spans="1:39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9"/>
      <c r="L203" s="9"/>
      <c r="M203" s="9"/>
      <c r="N203" s="9"/>
      <c r="O203" s="9"/>
      <c r="P203" s="9"/>
      <c r="Q203" s="9"/>
      <c r="R203" s="9"/>
      <c r="S203" s="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</row>
    <row r="204" spans="1:39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9"/>
      <c r="L204" s="9"/>
      <c r="M204" s="9"/>
      <c r="N204" s="9"/>
      <c r="O204" s="9"/>
      <c r="P204" s="9"/>
      <c r="Q204" s="9"/>
      <c r="R204" s="9"/>
      <c r="S204" s="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</row>
    <row r="205" spans="1:39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9"/>
      <c r="L205" s="9"/>
      <c r="M205" s="9"/>
      <c r="N205" s="9"/>
      <c r="O205" s="9"/>
      <c r="P205" s="9"/>
      <c r="Q205" s="9"/>
      <c r="R205" s="9"/>
      <c r="S205" s="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</row>
    <row r="206" spans="1:39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9"/>
      <c r="L206" s="9"/>
      <c r="M206" s="9"/>
      <c r="N206" s="9"/>
      <c r="O206" s="9"/>
      <c r="P206" s="9"/>
      <c r="Q206" s="9"/>
      <c r="R206" s="9"/>
      <c r="S206" s="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</row>
    <row r="207" spans="1:39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9"/>
      <c r="L207" s="9"/>
      <c r="M207" s="9"/>
      <c r="N207" s="9"/>
      <c r="O207" s="9"/>
      <c r="P207" s="9"/>
      <c r="Q207" s="9"/>
      <c r="R207" s="9"/>
      <c r="S207" s="9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</row>
    <row r="208" spans="1:39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9"/>
      <c r="L208" s="9"/>
      <c r="M208" s="9"/>
      <c r="N208" s="9"/>
      <c r="O208" s="9"/>
      <c r="P208" s="9"/>
      <c r="Q208" s="9"/>
      <c r="R208" s="9"/>
      <c r="S208" s="9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</row>
    <row r="209" spans="1:39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9"/>
      <c r="L209" s="9"/>
      <c r="M209" s="9"/>
      <c r="N209" s="9"/>
      <c r="O209" s="9"/>
      <c r="P209" s="9"/>
      <c r="Q209" s="9"/>
      <c r="R209" s="9"/>
      <c r="S209" s="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</row>
    <row r="210" spans="1:39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9"/>
      <c r="L210" s="9"/>
      <c r="M210" s="9"/>
      <c r="N210" s="9"/>
      <c r="O210" s="9"/>
      <c r="P210" s="9"/>
      <c r="Q210" s="9"/>
      <c r="R210" s="9"/>
      <c r="S210" s="9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</row>
    <row r="211" spans="1:39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9"/>
      <c r="L211" s="9"/>
      <c r="M211" s="9"/>
      <c r="N211" s="9"/>
      <c r="O211" s="9"/>
      <c r="P211" s="9"/>
      <c r="Q211" s="9"/>
      <c r="R211" s="9"/>
      <c r="S211" s="9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</row>
    <row r="212" spans="1:39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9"/>
      <c r="L212" s="9"/>
      <c r="M212" s="9"/>
      <c r="N212" s="9"/>
      <c r="O212" s="9"/>
      <c r="P212" s="9"/>
      <c r="Q212" s="9"/>
      <c r="R212" s="9"/>
      <c r="S212" s="9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</row>
    <row r="213" spans="1:39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9"/>
      <c r="L213" s="9"/>
      <c r="M213" s="9"/>
      <c r="N213" s="9"/>
      <c r="O213" s="9"/>
      <c r="P213" s="9"/>
      <c r="Q213" s="9"/>
      <c r="R213" s="9"/>
      <c r="S213" s="9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</row>
    <row r="214" spans="1:39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9"/>
      <c r="L214" s="9"/>
      <c r="M214" s="9"/>
      <c r="N214" s="9"/>
      <c r="O214" s="9"/>
      <c r="P214" s="9"/>
      <c r="Q214" s="9"/>
      <c r="R214" s="9"/>
      <c r="S214" s="9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</row>
    <row r="215" spans="1:39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9"/>
      <c r="L215" s="9"/>
      <c r="M215" s="9"/>
      <c r="N215" s="9"/>
      <c r="O215" s="9"/>
      <c r="P215" s="9"/>
      <c r="Q215" s="9"/>
      <c r="R215" s="9"/>
      <c r="S215" s="9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</row>
    <row r="216" spans="1:39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9"/>
      <c r="L216" s="9"/>
      <c r="M216" s="9"/>
      <c r="N216" s="9"/>
      <c r="O216" s="9"/>
      <c r="P216" s="9"/>
      <c r="Q216" s="9"/>
      <c r="R216" s="9"/>
      <c r="S216" s="9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</row>
    <row r="217" spans="1:39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9"/>
      <c r="L217" s="9"/>
      <c r="M217" s="9"/>
      <c r="N217" s="9"/>
      <c r="O217" s="9"/>
      <c r="P217" s="9"/>
      <c r="Q217" s="9"/>
      <c r="R217" s="9"/>
      <c r="S217" s="9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</row>
    <row r="218" spans="1:39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9"/>
      <c r="L218" s="9"/>
      <c r="M218" s="9"/>
      <c r="N218" s="9"/>
      <c r="O218" s="9"/>
      <c r="P218" s="9"/>
      <c r="Q218" s="9"/>
      <c r="R218" s="9"/>
      <c r="S218" s="9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</row>
    <row r="219" spans="1:39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9"/>
      <c r="L219" s="9"/>
      <c r="M219" s="9"/>
      <c r="N219" s="9"/>
      <c r="O219" s="9"/>
      <c r="P219" s="9"/>
      <c r="Q219" s="9"/>
      <c r="R219" s="9"/>
      <c r="S219" s="9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</row>
    <row r="220" spans="1:39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9"/>
      <c r="L220" s="9"/>
      <c r="M220" s="9"/>
      <c r="N220" s="9"/>
      <c r="O220" s="9"/>
      <c r="P220" s="9"/>
      <c r="Q220" s="9"/>
      <c r="R220" s="9"/>
      <c r="S220" s="9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</row>
    <row r="221" spans="1:39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9"/>
      <c r="L221" s="9"/>
      <c r="M221" s="9"/>
      <c r="N221" s="9"/>
      <c r="O221" s="9"/>
      <c r="P221" s="9"/>
      <c r="Q221" s="9"/>
      <c r="R221" s="9"/>
      <c r="S221" s="9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</row>
    <row r="222" spans="1:39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9"/>
      <c r="L222" s="9"/>
      <c r="M222" s="9"/>
      <c r="N222" s="9"/>
      <c r="O222" s="9"/>
      <c r="P222" s="9"/>
      <c r="Q222" s="9"/>
      <c r="R222" s="9"/>
      <c r="S222" s="9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</row>
    <row r="223" spans="1:39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9"/>
      <c r="L223" s="9"/>
      <c r="M223" s="9"/>
      <c r="N223" s="9"/>
      <c r="O223" s="9"/>
      <c r="P223" s="9"/>
      <c r="Q223" s="9"/>
      <c r="R223" s="9"/>
      <c r="S223" s="9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</row>
    <row r="224" spans="1:39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9"/>
      <c r="L224" s="9"/>
      <c r="M224" s="9"/>
      <c r="N224" s="9"/>
      <c r="O224" s="9"/>
      <c r="P224" s="9"/>
      <c r="Q224" s="9"/>
      <c r="R224" s="9"/>
      <c r="S224" s="9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</row>
    <row r="225" spans="1:39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9"/>
      <c r="L225" s="9"/>
      <c r="M225" s="9"/>
      <c r="N225" s="9"/>
      <c r="O225" s="9"/>
      <c r="P225" s="9"/>
      <c r="Q225" s="9"/>
      <c r="R225" s="9"/>
      <c r="S225" s="9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</row>
    <row r="226" spans="1:39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9"/>
      <c r="L226" s="9"/>
      <c r="M226" s="9"/>
      <c r="N226" s="9"/>
      <c r="O226" s="9"/>
      <c r="P226" s="9"/>
      <c r="Q226" s="9"/>
      <c r="R226" s="9"/>
      <c r="S226" s="9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</row>
    <row r="227" spans="1:39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9"/>
      <c r="L227" s="9"/>
      <c r="M227" s="9"/>
      <c r="N227" s="9"/>
      <c r="O227" s="9"/>
      <c r="P227" s="9"/>
      <c r="Q227" s="9"/>
      <c r="R227" s="9"/>
      <c r="S227" s="9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</row>
    <row r="228" spans="1:39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9"/>
      <c r="L228" s="9"/>
      <c r="M228" s="9"/>
      <c r="N228" s="9"/>
      <c r="O228" s="9"/>
      <c r="P228" s="9"/>
      <c r="Q228" s="9"/>
      <c r="R228" s="9"/>
      <c r="S228" s="9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</row>
    <row r="229" spans="1:39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9"/>
      <c r="L229" s="9"/>
      <c r="M229" s="9"/>
      <c r="N229" s="9"/>
      <c r="O229" s="9"/>
      <c r="P229" s="9"/>
      <c r="Q229" s="9"/>
      <c r="R229" s="9"/>
      <c r="S229" s="9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</row>
    <row r="230" spans="1:39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9"/>
      <c r="L230" s="9"/>
      <c r="M230" s="9"/>
      <c r="N230" s="9"/>
      <c r="O230" s="9"/>
      <c r="P230" s="9"/>
      <c r="Q230" s="9"/>
      <c r="R230" s="9"/>
      <c r="S230" s="9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</row>
    <row r="231" spans="1:39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9"/>
      <c r="L231" s="9"/>
      <c r="M231" s="9"/>
      <c r="N231" s="9"/>
      <c r="O231" s="9"/>
      <c r="P231" s="9"/>
      <c r="Q231" s="9"/>
      <c r="R231" s="9"/>
      <c r="S231" s="9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</row>
    <row r="232" spans="1:39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9"/>
      <c r="L232" s="9"/>
      <c r="M232" s="9"/>
      <c r="N232" s="9"/>
      <c r="O232" s="9"/>
      <c r="P232" s="9"/>
      <c r="Q232" s="9"/>
      <c r="R232" s="9"/>
      <c r="S232" s="9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</row>
    <row r="233" spans="1:39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9"/>
      <c r="L233" s="9"/>
      <c r="M233" s="9"/>
      <c r="N233" s="9"/>
      <c r="O233" s="9"/>
      <c r="P233" s="9"/>
      <c r="Q233" s="9"/>
      <c r="R233" s="9"/>
      <c r="S233" s="9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</row>
    <row r="234" spans="1:39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9"/>
      <c r="L234" s="9"/>
      <c r="M234" s="9"/>
      <c r="N234" s="9"/>
      <c r="O234" s="9"/>
      <c r="P234" s="9"/>
      <c r="Q234" s="9"/>
      <c r="R234" s="9"/>
      <c r="S234" s="9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</row>
    <row r="235" spans="1:39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9"/>
      <c r="L235" s="9"/>
      <c r="M235" s="9"/>
      <c r="N235" s="9"/>
      <c r="O235" s="9"/>
      <c r="P235" s="9"/>
      <c r="Q235" s="9"/>
      <c r="R235" s="9"/>
      <c r="S235" s="9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</row>
    <row r="236" spans="1:39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9"/>
      <c r="L236" s="9"/>
      <c r="M236" s="9"/>
      <c r="N236" s="9"/>
      <c r="O236" s="9"/>
      <c r="P236" s="9"/>
      <c r="Q236" s="9"/>
      <c r="R236" s="9"/>
      <c r="S236" s="9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</row>
    <row r="237" spans="1:39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9"/>
      <c r="L237" s="9"/>
      <c r="M237" s="9"/>
      <c r="N237" s="9"/>
      <c r="O237" s="9"/>
      <c r="P237" s="9"/>
      <c r="Q237" s="9"/>
      <c r="R237" s="9"/>
      <c r="S237" s="9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</row>
    <row r="238" spans="1:39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9"/>
      <c r="L238" s="9"/>
      <c r="M238" s="9"/>
      <c r="N238" s="9"/>
      <c r="O238" s="9"/>
      <c r="P238" s="9"/>
      <c r="Q238" s="9"/>
      <c r="R238" s="9"/>
      <c r="S238" s="9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</row>
    <row r="239" spans="1:39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9"/>
      <c r="L239" s="9"/>
      <c r="M239" s="9"/>
      <c r="N239" s="9"/>
      <c r="O239" s="9"/>
      <c r="P239" s="9"/>
      <c r="Q239" s="9"/>
      <c r="R239" s="9"/>
      <c r="S239" s="9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</row>
    <row r="240" spans="1:39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9"/>
      <c r="L240" s="9"/>
      <c r="M240" s="9"/>
      <c r="N240" s="9"/>
      <c r="O240" s="9"/>
      <c r="P240" s="9"/>
      <c r="Q240" s="9"/>
      <c r="R240" s="9"/>
      <c r="S240" s="9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</row>
    <row r="241" spans="1:39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9"/>
      <c r="L241" s="9"/>
      <c r="M241" s="9"/>
      <c r="N241" s="9"/>
      <c r="O241" s="9"/>
      <c r="P241" s="9"/>
      <c r="Q241" s="9"/>
      <c r="R241" s="9"/>
      <c r="S241" s="9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</row>
    <row r="242" spans="1:39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9"/>
      <c r="L242" s="9"/>
      <c r="M242" s="9"/>
      <c r="N242" s="9"/>
      <c r="O242" s="9"/>
      <c r="P242" s="9"/>
      <c r="Q242" s="9"/>
      <c r="R242" s="9"/>
      <c r="S242" s="9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</row>
    <row r="243" spans="1:39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9"/>
      <c r="L243" s="9"/>
      <c r="M243" s="9"/>
      <c r="N243" s="9"/>
      <c r="O243" s="9"/>
      <c r="P243" s="9"/>
      <c r="Q243" s="9"/>
      <c r="R243" s="9"/>
      <c r="S243" s="9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</row>
    <row r="244" spans="1:39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9"/>
      <c r="L244" s="9"/>
      <c r="M244" s="9"/>
      <c r="N244" s="9"/>
      <c r="O244" s="9"/>
      <c r="P244" s="9"/>
      <c r="Q244" s="9"/>
      <c r="R244" s="9"/>
      <c r="S244" s="9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</row>
    <row r="245" spans="1:39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9"/>
      <c r="L245" s="9"/>
      <c r="M245" s="9"/>
      <c r="N245" s="9"/>
      <c r="O245" s="9"/>
      <c r="P245" s="9"/>
      <c r="Q245" s="9"/>
      <c r="R245" s="9"/>
      <c r="S245" s="9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</row>
    <row r="246" spans="1:39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9"/>
      <c r="L246" s="9"/>
      <c r="M246" s="9"/>
      <c r="N246" s="9"/>
      <c r="O246" s="9"/>
      <c r="P246" s="9"/>
      <c r="Q246" s="9"/>
      <c r="R246" s="9"/>
      <c r="S246" s="9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</row>
    <row r="247" spans="1:39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9"/>
      <c r="L247" s="9"/>
      <c r="M247" s="9"/>
      <c r="N247" s="9"/>
      <c r="O247" s="9"/>
      <c r="P247" s="9"/>
      <c r="Q247" s="9"/>
      <c r="R247" s="9"/>
      <c r="S247" s="9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</row>
    <row r="248" spans="1:39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9"/>
      <c r="L248" s="9"/>
      <c r="M248" s="9"/>
      <c r="N248" s="9"/>
      <c r="O248" s="9"/>
      <c r="P248" s="9"/>
      <c r="Q248" s="9"/>
      <c r="R248" s="9"/>
      <c r="S248" s="9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</row>
    <row r="249" spans="1:39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9"/>
      <c r="L249" s="9"/>
      <c r="M249" s="9"/>
      <c r="N249" s="9"/>
      <c r="O249" s="9"/>
      <c r="P249" s="9"/>
      <c r="Q249" s="9"/>
      <c r="R249" s="9"/>
      <c r="S249" s="9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</row>
    <row r="250" spans="1:39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9"/>
      <c r="L250" s="9"/>
      <c r="M250" s="9"/>
      <c r="N250" s="9"/>
      <c r="O250" s="9"/>
      <c r="P250" s="9"/>
      <c r="Q250" s="9"/>
      <c r="R250" s="9"/>
      <c r="S250" s="9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</row>
    <row r="251" spans="1:39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9"/>
      <c r="L251" s="9"/>
      <c r="M251" s="9"/>
      <c r="N251" s="9"/>
      <c r="O251" s="9"/>
      <c r="P251" s="9"/>
      <c r="Q251" s="9"/>
      <c r="R251" s="9"/>
      <c r="S251" s="9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</row>
    <row r="252" spans="1:39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9"/>
      <c r="L252" s="9"/>
      <c r="M252" s="9"/>
      <c r="N252" s="9"/>
      <c r="O252" s="9"/>
      <c r="P252" s="9"/>
      <c r="Q252" s="9"/>
      <c r="R252" s="9"/>
      <c r="S252" s="9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</row>
    <row r="253" spans="1:39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9"/>
      <c r="L253" s="9"/>
      <c r="M253" s="9"/>
      <c r="N253" s="9"/>
      <c r="O253" s="9"/>
      <c r="P253" s="9"/>
      <c r="Q253" s="9"/>
      <c r="R253" s="9"/>
      <c r="S253" s="9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</row>
    <row r="254" spans="1:39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9"/>
      <c r="L254" s="9"/>
      <c r="M254" s="9"/>
      <c r="N254" s="9"/>
      <c r="O254" s="9"/>
      <c r="P254" s="9"/>
      <c r="Q254" s="9"/>
      <c r="R254" s="9"/>
      <c r="S254" s="9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</row>
    <row r="255" spans="1:39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9"/>
      <c r="L255" s="9"/>
      <c r="M255" s="9"/>
      <c r="N255" s="9"/>
      <c r="O255" s="9"/>
      <c r="P255" s="9"/>
      <c r="Q255" s="9"/>
      <c r="R255" s="9"/>
      <c r="S255" s="9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</row>
    <row r="256" spans="1:39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9"/>
      <c r="L256" s="9"/>
      <c r="M256" s="9"/>
      <c r="N256" s="9"/>
      <c r="O256" s="9"/>
      <c r="P256" s="9"/>
      <c r="Q256" s="9"/>
      <c r="R256" s="9"/>
      <c r="S256" s="9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</row>
    <row r="257" spans="1:39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9"/>
      <c r="L257" s="9"/>
      <c r="M257" s="9"/>
      <c r="N257" s="9"/>
      <c r="O257" s="9"/>
      <c r="P257" s="9"/>
      <c r="Q257" s="9"/>
      <c r="R257" s="9"/>
      <c r="S257" s="9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</row>
    <row r="258" spans="1:39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9"/>
      <c r="L258" s="9"/>
      <c r="M258" s="9"/>
      <c r="N258" s="9"/>
      <c r="O258" s="9"/>
      <c r="P258" s="9"/>
      <c r="Q258" s="9"/>
      <c r="R258" s="9"/>
      <c r="S258" s="9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</row>
    <row r="259" spans="1:39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9"/>
      <c r="L259" s="9"/>
      <c r="M259" s="9"/>
      <c r="N259" s="9"/>
      <c r="O259" s="9"/>
      <c r="P259" s="9"/>
      <c r="Q259" s="9"/>
      <c r="R259" s="9"/>
      <c r="S259" s="9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</row>
    <row r="260" spans="1:39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9"/>
      <c r="L260" s="9"/>
      <c r="M260" s="9"/>
      <c r="N260" s="9"/>
      <c r="O260" s="9"/>
      <c r="P260" s="9"/>
      <c r="Q260" s="9"/>
      <c r="R260" s="9"/>
      <c r="S260" s="9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</row>
    <row r="261" spans="1:39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9"/>
      <c r="L261" s="9"/>
      <c r="M261" s="9"/>
      <c r="N261" s="9"/>
      <c r="O261" s="9"/>
      <c r="P261" s="9"/>
      <c r="Q261" s="9"/>
      <c r="R261" s="9"/>
      <c r="S261" s="9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</row>
    <row r="262" spans="1:39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9"/>
      <c r="L262" s="9"/>
      <c r="M262" s="9"/>
      <c r="N262" s="9"/>
      <c r="O262" s="9"/>
      <c r="P262" s="9"/>
      <c r="Q262" s="9"/>
      <c r="R262" s="9"/>
      <c r="S262" s="9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</row>
    <row r="263" spans="1:39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9"/>
      <c r="L263" s="9"/>
      <c r="M263" s="9"/>
      <c r="N263" s="9"/>
      <c r="O263" s="9"/>
      <c r="P263" s="9"/>
      <c r="Q263" s="9"/>
      <c r="R263" s="9"/>
      <c r="S263" s="9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</row>
    <row r="264" spans="1:39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9"/>
      <c r="L264" s="9"/>
      <c r="M264" s="9"/>
      <c r="N264" s="9"/>
      <c r="O264" s="9"/>
      <c r="P264" s="9"/>
      <c r="Q264" s="9"/>
      <c r="R264" s="9"/>
      <c r="S264" s="9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</row>
    <row r="265" spans="1:39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9"/>
      <c r="L265" s="9"/>
      <c r="M265" s="9"/>
      <c r="N265" s="9"/>
      <c r="O265" s="9"/>
      <c r="P265" s="9"/>
      <c r="Q265" s="9"/>
      <c r="R265" s="9"/>
      <c r="S265" s="9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</row>
    <row r="266" spans="1:39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9"/>
      <c r="L266" s="9"/>
      <c r="M266" s="9"/>
      <c r="N266" s="9"/>
      <c r="O266" s="9"/>
      <c r="P266" s="9"/>
      <c r="Q266" s="9"/>
      <c r="R266" s="9"/>
      <c r="S266" s="9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</row>
    <row r="267" spans="1:39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9"/>
      <c r="L267" s="9"/>
      <c r="M267" s="9"/>
      <c r="N267" s="9"/>
      <c r="O267" s="9"/>
      <c r="P267" s="9"/>
      <c r="Q267" s="9"/>
      <c r="R267" s="9"/>
      <c r="S267" s="9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</row>
    <row r="268" spans="1:39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9"/>
      <c r="L268" s="9"/>
      <c r="M268" s="9"/>
      <c r="N268" s="9"/>
      <c r="O268" s="9"/>
      <c r="P268" s="9"/>
      <c r="Q268" s="9"/>
      <c r="R268" s="9"/>
      <c r="S268" s="9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</row>
    <row r="269" spans="1:39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9"/>
      <c r="L269" s="9"/>
      <c r="M269" s="9"/>
      <c r="N269" s="9"/>
      <c r="O269" s="9"/>
      <c r="P269" s="9"/>
      <c r="Q269" s="9"/>
      <c r="R269" s="9"/>
      <c r="S269" s="9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</row>
    <row r="270" spans="1:39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9"/>
      <c r="L270" s="9"/>
      <c r="M270" s="9"/>
      <c r="N270" s="9"/>
      <c r="O270" s="9"/>
      <c r="P270" s="9"/>
      <c r="Q270" s="9"/>
      <c r="R270" s="9"/>
      <c r="S270" s="9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</row>
    <row r="271" spans="1:39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9"/>
      <c r="L271" s="9"/>
      <c r="M271" s="9"/>
      <c r="N271" s="9"/>
      <c r="O271" s="9"/>
      <c r="P271" s="9"/>
      <c r="Q271" s="9"/>
      <c r="R271" s="9"/>
      <c r="S271" s="9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</row>
    <row r="272" spans="1:39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9"/>
      <c r="L272" s="9"/>
      <c r="M272" s="9"/>
      <c r="N272" s="9"/>
      <c r="O272" s="9"/>
      <c r="P272" s="9"/>
      <c r="Q272" s="9"/>
      <c r="R272" s="9"/>
      <c r="S272" s="9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</row>
    <row r="273" spans="1:39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9"/>
      <c r="L273" s="9"/>
      <c r="M273" s="9"/>
      <c r="N273" s="9"/>
      <c r="O273" s="9"/>
      <c r="P273" s="9"/>
      <c r="Q273" s="9"/>
      <c r="R273" s="9"/>
      <c r="S273" s="9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</row>
    <row r="274" spans="1:39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9"/>
      <c r="L274" s="9"/>
      <c r="M274" s="9"/>
      <c r="N274" s="9"/>
      <c r="O274" s="9"/>
      <c r="P274" s="9"/>
      <c r="Q274" s="9"/>
      <c r="R274" s="9"/>
      <c r="S274" s="9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</row>
    <row r="275" spans="1:39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9"/>
      <c r="L275" s="9"/>
      <c r="M275" s="9"/>
      <c r="N275" s="9"/>
      <c r="O275" s="9"/>
      <c r="P275" s="9"/>
      <c r="Q275" s="9"/>
      <c r="R275" s="9"/>
      <c r="S275" s="9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</row>
    <row r="276" spans="1:39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9"/>
      <c r="L276" s="9"/>
      <c r="M276" s="9"/>
      <c r="N276" s="9"/>
      <c r="O276" s="9"/>
      <c r="P276" s="9"/>
      <c r="Q276" s="9"/>
      <c r="R276" s="9"/>
      <c r="S276" s="9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</row>
    <row r="277" spans="1:39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9"/>
      <c r="L277" s="9"/>
      <c r="M277" s="9"/>
      <c r="N277" s="9"/>
      <c r="O277" s="9"/>
      <c r="P277" s="9"/>
      <c r="Q277" s="9"/>
      <c r="R277" s="9"/>
      <c r="S277" s="9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</row>
    <row r="278" spans="1:39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9"/>
      <c r="L278" s="9"/>
      <c r="M278" s="9"/>
      <c r="N278" s="9"/>
      <c r="O278" s="9"/>
      <c r="P278" s="9"/>
      <c r="Q278" s="9"/>
      <c r="R278" s="9"/>
      <c r="S278" s="9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</row>
    <row r="279" spans="1:39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9"/>
      <c r="L279" s="9"/>
      <c r="M279" s="9"/>
      <c r="N279" s="9"/>
      <c r="O279" s="9"/>
      <c r="P279" s="9"/>
      <c r="Q279" s="9"/>
      <c r="R279" s="9"/>
      <c r="S279" s="9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</row>
    <row r="280" spans="1:39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9"/>
      <c r="L280" s="9"/>
      <c r="M280" s="9"/>
      <c r="N280" s="9"/>
      <c r="O280" s="9"/>
      <c r="P280" s="9"/>
      <c r="Q280" s="9"/>
      <c r="R280" s="9"/>
      <c r="S280" s="9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</row>
    <row r="281" spans="1:39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9"/>
      <c r="L281" s="9"/>
      <c r="M281" s="9"/>
      <c r="N281" s="9"/>
      <c r="O281" s="9"/>
      <c r="P281" s="9"/>
      <c r="Q281" s="9"/>
      <c r="R281" s="9"/>
      <c r="S281" s="9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</row>
    <row r="282" spans="1:39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9"/>
      <c r="L282" s="9"/>
      <c r="M282" s="9"/>
      <c r="N282" s="9"/>
      <c r="O282" s="9"/>
      <c r="P282" s="9"/>
      <c r="Q282" s="9"/>
      <c r="R282" s="9"/>
      <c r="S282" s="9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</row>
    <row r="283" spans="1:39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9"/>
      <c r="L283" s="9"/>
      <c r="M283" s="9"/>
      <c r="N283" s="9"/>
      <c r="O283" s="9"/>
      <c r="P283" s="9"/>
      <c r="Q283" s="9"/>
      <c r="R283" s="9"/>
      <c r="S283" s="9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</row>
    <row r="284" spans="1:39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9"/>
      <c r="L284" s="9"/>
      <c r="M284" s="9"/>
      <c r="N284" s="9"/>
      <c r="O284" s="9"/>
      <c r="P284" s="9"/>
      <c r="Q284" s="9"/>
      <c r="R284" s="9"/>
      <c r="S284" s="9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</row>
    <row r="285" spans="1:39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9"/>
      <c r="L285" s="9"/>
      <c r="M285" s="9"/>
      <c r="N285" s="9"/>
      <c r="O285" s="9"/>
      <c r="P285" s="9"/>
      <c r="Q285" s="9"/>
      <c r="R285" s="9"/>
      <c r="S285" s="9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</row>
    <row r="286" spans="1:39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9"/>
      <c r="L286" s="9"/>
      <c r="M286" s="9"/>
      <c r="N286" s="9"/>
      <c r="O286" s="9"/>
      <c r="P286" s="9"/>
      <c r="Q286" s="9"/>
      <c r="R286" s="9"/>
      <c r="S286" s="9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</row>
    <row r="287" spans="1:39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9"/>
      <c r="L287" s="9"/>
      <c r="M287" s="9"/>
      <c r="N287" s="9"/>
      <c r="O287" s="9"/>
      <c r="P287" s="9"/>
      <c r="Q287" s="9"/>
      <c r="R287" s="9"/>
      <c r="S287" s="9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</row>
    <row r="288" spans="1:39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9"/>
      <c r="L288" s="9"/>
      <c r="M288" s="9"/>
      <c r="N288" s="9"/>
      <c r="O288" s="9"/>
      <c r="P288" s="9"/>
      <c r="Q288" s="9"/>
      <c r="R288" s="9"/>
      <c r="S288" s="9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</row>
    <row r="289" spans="1:39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9"/>
      <c r="L289" s="9"/>
      <c r="M289" s="9"/>
      <c r="N289" s="9"/>
      <c r="O289" s="9"/>
      <c r="P289" s="9"/>
      <c r="Q289" s="9"/>
      <c r="R289" s="9"/>
      <c r="S289" s="9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</row>
    <row r="290" spans="1:39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9"/>
      <c r="L290" s="9"/>
      <c r="M290" s="9"/>
      <c r="N290" s="9"/>
      <c r="O290" s="9"/>
      <c r="P290" s="9"/>
      <c r="Q290" s="9"/>
      <c r="R290" s="9"/>
      <c r="S290" s="9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</row>
    <row r="291" spans="1:39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9"/>
      <c r="L291" s="9"/>
      <c r="M291" s="9"/>
      <c r="N291" s="9"/>
      <c r="O291" s="9"/>
      <c r="P291" s="9"/>
      <c r="Q291" s="9"/>
      <c r="R291" s="9"/>
      <c r="S291" s="9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</row>
    <row r="292" spans="1:39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9"/>
      <c r="L292" s="9"/>
      <c r="M292" s="9"/>
      <c r="N292" s="9"/>
      <c r="O292" s="9"/>
      <c r="P292" s="9"/>
      <c r="Q292" s="9"/>
      <c r="R292" s="9"/>
      <c r="S292" s="9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</row>
    <row r="293" spans="1:39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9"/>
      <c r="L293" s="9"/>
      <c r="M293" s="9"/>
      <c r="N293" s="9"/>
      <c r="O293" s="9"/>
      <c r="P293" s="9"/>
      <c r="Q293" s="9"/>
      <c r="R293" s="9"/>
      <c r="S293" s="9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</row>
    <row r="294" spans="1:39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9"/>
      <c r="L294" s="9"/>
      <c r="M294" s="9"/>
      <c r="N294" s="9"/>
      <c r="O294" s="9"/>
      <c r="P294" s="9"/>
      <c r="Q294" s="9"/>
      <c r="R294" s="9"/>
      <c r="S294" s="9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</row>
    <row r="295" spans="1:39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9"/>
      <c r="L295" s="9"/>
      <c r="M295" s="9"/>
      <c r="N295" s="9"/>
      <c r="O295" s="9"/>
      <c r="P295" s="9"/>
      <c r="Q295" s="9"/>
      <c r="R295" s="9"/>
      <c r="S295" s="9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</row>
    <row r="296" spans="1:39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9"/>
      <c r="L296" s="9"/>
      <c r="M296" s="9"/>
      <c r="N296" s="9"/>
      <c r="O296" s="9"/>
      <c r="P296" s="9"/>
      <c r="Q296" s="9"/>
      <c r="R296" s="9"/>
      <c r="S296" s="9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</row>
    <row r="297" spans="1:39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9"/>
      <c r="L297" s="9"/>
      <c r="M297" s="9"/>
      <c r="N297" s="9"/>
      <c r="O297" s="9"/>
      <c r="P297" s="9"/>
      <c r="Q297" s="9"/>
      <c r="R297" s="9"/>
      <c r="S297" s="9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</row>
    <row r="298" spans="1:39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9"/>
      <c r="L298" s="9"/>
      <c r="M298" s="9"/>
      <c r="N298" s="9"/>
      <c r="O298" s="9"/>
      <c r="P298" s="9"/>
      <c r="Q298" s="9"/>
      <c r="R298" s="9"/>
      <c r="S298" s="9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</row>
    <row r="299" spans="1:39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9"/>
      <c r="L299" s="9"/>
      <c r="M299" s="9"/>
      <c r="N299" s="9"/>
      <c r="O299" s="9"/>
      <c r="P299" s="9"/>
      <c r="Q299" s="9"/>
      <c r="R299" s="9"/>
      <c r="S299" s="9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</row>
    <row r="300" spans="1:39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9"/>
      <c r="L300" s="9"/>
      <c r="M300" s="9"/>
      <c r="N300" s="9"/>
      <c r="O300" s="9"/>
      <c r="P300" s="9"/>
      <c r="Q300" s="9"/>
      <c r="R300" s="9"/>
      <c r="S300" s="9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</row>
    <row r="301" spans="1:39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9"/>
      <c r="L301" s="9"/>
      <c r="M301" s="9"/>
      <c r="N301" s="9"/>
      <c r="O301" s="9"/>
      <c r="P301" s="9"/>
      <c r="Q301" s="9"/>
      <c r="R301" s="9"/>
      <c r="S301" s="9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</row>
    <row r="302" spans="1:39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9"/>
      <c r="L302" s="9"/>
      <c r="M302" s="9"/>
      <c r="N302" s="9"/>
      <c r="O302" s="9"/>
      <c r="P302" s="9"/>
      <c r="Q302" s="9"/>
      <c r="R302" s="9"/>
      <c r="S302" s="9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</row>
    <row r="303" spans="1:39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9"/>
      <c r="L303" s="9"/>
      <c r="M303" s="9"/>
      <c r="N303" s="9"/>
      <c r="O303" s="9"/>
      <c r="P303" s="9"/>
      <c r="Q303" s="9"/>
      <c r="R303" s="9"/>
      <c r="S303" s="9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</row>
    <row r="304" spans="1:39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9"/>
      <c r="L304" s="9"/>
      <c r="M304" s="9"/>
      <c r="N304" s="9"/>
      <c r="O304" s="9"/>
      <c r="P304" s="9"/>
      <c r="Q304" s="9"/>
      <c r="R304" s="9"/>
      <c r="S304" s="9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</row>
    <row r="305" spans="1:39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9"/>
      <c r="L305" s="9"/>
      <c r="M305" s="9"/>
      <c r="N305" s="9"/>
      <c r="O305" s="9"/>
      <c r="P305" s="9"/>
      <c r="Q305" s="9"/>
      <c r="R305" s="9"/>
      <c r="S305" s="9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</row>
    <row r="306" spans="1:39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9"/>
      <c r="L306" s="9"/>
      <c r="M306" s="9"/>
      <c r="N306" s="9"/>
      <c r="O306" s="9"/>
      <c r="P306" s="9"/>
      <c r="Q306" s="9"/>
      <c r="R306" s="9"/>
      <c r="S306" s="9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</row>
    <row r="307" spans="1:39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9"/>
      <c r="L307" s="9"/>
      <c r="M307" s="9"/>
      <c r="N307" s="9"/>
      <c r="O307" s="9"/>
      <c r="P307" s="9"/>
      <c r="Q307" s="9"/>
      <c r="R307" s="9"/>
      <c r="S307" s="9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</row>
    <row r="308" spans="1:39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9"/>
      <c r="L308" s="9"/>
      <c r="M308" s="9"/>
      <c r="N308" s="9"/>
      <c r="O308" s="9"/>
      <c r="P308" s="9"/>
      <c r="Q308" s="9"/>
      <c r="R308" s="9"/>
      <c r="S308" s="9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</row>
    <row r="309" spans="1:3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9"/>
      <c r="L309" s="9"/>
      <c r="M309" s="9"/>
      <c r="N309" s="9"/>
      <c r="O309" s="9"/>
      <c r="P309" s="9"/>
      <c r="Q309" s="9"/>
      <c r="R309" s="9"/>
      <c r="S309" s="9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</row>
    <row r="310" spans="1:39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9"/>
      <c r="L310" s="9"/>
      <c r="M310" s="9"/>
      <c r="N310" s="9"/>
      <c r="O310" s="9"/>
      <c r="P310" s="9"/>
      <c r="Q310" s="9"/>
      <c r="R310" s="9"/>
      <c r="S310" s="9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</row>
    <row r="311" spans="1:39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9"/>
      <c r="L311" s="9"/>
      <c r="M311" s="9"/>
      <c r="N311" s="9"/>
      <c r="O311" s="9"/>
      <c r="P311" s="9"/>
      <c r="Q311" s="9"/>
      <c r="R311" s="9"/>
      <c r="S311" s="9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</row>
    <row r="312" spans="1:39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9"/>
      <c r="L312" s="9"/>
      <c r="M312" s="9"/>
      <c r="N312" s="9"/>
      <c r="O312" s="9"/>
      <c r="P312" s="9"/>
      <c r="Q312" s="9"/>
      <c r="R312" s="9"/>
      <c r="S312" s="9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</row>
    <row r="313" spans="1:39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9"/>
      <c r="L313" s="9"/>
      <c r="M313" s="9"/>
      <c r="N313" s="9"/>
      <c r="O313" s="9"/>
      <c r="P313" s="9"/>
      <c r="Q313" s="9"/>
      <c r="R313" s="9"/>
      <c r="S313" s="9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</row>
    <row r="314" spans="1:39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9"/>
      <c r="L314" s="9"/>
      <c r="M314" s="9"/>
      <c r="N314" s="9"/>
      <c r="O314" s="9"/>
      <c r="P314" s="9"/>
      <c r="Q314" s="9"/>
      <c r="R314" s="9"/>
      <c r="S314" s="9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</row>
    <row r="315" spans="1:39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9"/>
      <c r="L315" s="9"/>
      <c r="M315" s="9"/>
      <c r="N315" s="9"/>
      <c r="O315" s="9"/>
      <c r="P315" s="9"/>
      <c r="Q315" s="9"/>
      <c r="R315" s="9"/>
      <c r="S315" s="9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</row>
    <row r="316" spans="1:39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9"/>
      <c r="L316" s="9"/>
      <c r="M316" s="9"/>
      <c r="N316" s="9"/>
      <c r="O316" s="9"/>
      <c r="P316" s="9"/>
      <c r="Q316" s="9"/>
      <c r="R316" s="9"/>
      <c r="S316" s="9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</row>
    <row r="317" spans="1:39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9"/>
      <c r="L317" s="9"/>
      <c r="M317" s="9"/>
      <c r="N317" s="9"/>
      <c r="O317" s="9"/>
      <c r="P317" s="9"/>
      <c r="Q317" s="9"/>
      <c r="R317" s="9"/>
      <c r="S317" s="9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</row>
    <row r="318" spans="1:39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9"/>
      <c r="L318" s="9"/>
      <c r="M318" s="9"/>
      <c r="N318" s="9"/>
      <c r="O318" s="9"/>
      <c r="P318" s="9"/>
      <c r="Q318" s="9"/>
      <c r="R318" s="9"/>
      <c r="S318" s="9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</row>
    <row r="319" spans="1:3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9"/>
      <c r="L319" s="9"/>
      <c r="M319" s="9"/>
      <c r="N319" s="9"/>
      <c r="O319" s="9"/>
      <c r="P319" s="9"/>
      <c r="Q319" s="9"/>
      <c r="R319" s="9"/>
      <c r="S319" s="9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</row>
    <row r="320" spans="1:39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9"/>
      <c r="L320" s="9"/>
      <c r="M320" s="9"/>
      <c r="N320" s="9"/>
      <c r="O320" s="9"/>
      <c r="P320" s="9"/>
      <c r="Q320" s="9"/>
      <c r="R320" s="9"/>
      <c r="S320" s="9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</row>
    <row r="321" spans="1:39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9"/>
      <c r="L321" s="9"/>
      <c r="M321" s="9"/>
      <c r="N321" s="9"/>
      <c r="O321" s="9"/>
      <c r="P321" s="9"/>
      <c r="Q321" s="9"/>
      <c r="R321" s="9"/>
      <c r="S321" s="9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</row>
    <row r="322" spans="1:39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9"/>
      <c r="L322" s="9"/>
      <c r="M322" s="9"/>
      <c r="N322" s="9"/>
      <c r="O322" s="9"/>
      <c r="P322" s="9"/>
      <c r="Q322" s="9"/>
      <c r="R322" s="9"/>
      <c r="S322" s="9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</row>
    <row r="323" spans="1:39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9"/>
      <c r="L323" s="9"/>
      <c r="M323" s="9"/>
      <c r="N323" s="9"/>
      <c r="O323" s="9"/>
      <c r="P323" s="9"/>
      <c r="Q323" s="9"/>
      <c r="R323" s="9"/>
      <c r="S323" s="9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</row>
    <row r="324" spans="1:39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9"/>
      <c r="L324" s="9"/>
      <c r="M324" s="9"/>
      <c r="N324" s="9"/>
      <c r="O324" s="9"/>
      <c r="P324" s="9"/>
      <c r="Q324" s="9"/>
      <c r="R324" s="9"/>
      <c r="S324" s="9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</row>
    <row r="325" spans="1:39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9"/>
      <c r="L325" s="9"/>
      <c r="M325" s="9"/>
      <c r="N325" s="9"/>
      <c r="O325" s="9"/>
      <c r="P325" s="9"/>
      <c r="Q325" s="9"/>
      <c r="R325" s="9"/>
      <c r="S325" s="9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</row>
    <row r="326" spans="1:39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9"/>
      <c r="L326" s="9"/>
      <c r="M326" s="9"/>
      <c r="N326" s="9"/>
      <c r="O326" s="9"/>
      <c r="P326" s="9"/>
      <c r="Q326" s="9"/>
      <c r="R326" s="9"/>
      <c r="S326" s="9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</row>
    <row r="327" spans="1:39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9"/>
      <c r="L327" s="9"/>
      <c r="M327" s="9"/>
      <c r="N327" s="9"/>
      <c r="O327" s="9"/>
      <c r="P327" s="9"/>
      <c r="Q327" s="9"/>
      <c r="R327" s="9"/>
      <c r="S327" s="9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</row>
    <row r="328" spans="1:39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9"/>
      <c r="L328" s="9"/>
      <c r="M328" s="9"/>
      <c r="N328" s="9"/>
      <c r="O328" s="9"/>
      <c r="P328" s="9"/>
      <c r="Q328" s="9"/>
      <c r="R328" s="9"/>
      <c r="S328" s="9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</row>
    <row r="329" spans="1:3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9"/>
      <c r="L329" s="9"/>
      <c r="M329" s="9"/>
      <c r="N329" s="9"/>
      <c r="O329" s="9"/>
      <c r="P329" s="9"/>
      <c r="Q329" s="9"/>
      <c r="R329" s="9"/>
      <c r="S329" s="9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</row>
    <row r="330" spans="1:39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9"/>
      <c r="L330" s="9"/>
      <c r="M330" s="9"/>
      <c r="N330" s="9"/>
      <c r="O330" s="9"/>
      <c r="P330" s="9"/>
      <c r="Q330" s="9"/>
      <c r="R330" s="9"/>
      <c r="S330" s="9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</row>
    <row r="331" spans="1:39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9"/>
      <c r="L331" s="9"/>
      <c r="M331" s="9"/>
      <c r="N331" s="9"/>
      <c r="O331" s="9"/>
      <c r="P331" s="9"/>
      <c r="Q331" s="9"/>
      <c r="R331" s="9"/>
      <c r="S331" s="9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</row>
    <row r="332" spans="1:39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9"/>
      <c r="L332" s="9"/>
      <c r="M332" s="9"/>
      <c r="N332" s="9"/>
      <c r="O332" s="9"/>
      <c r="P332" s="9"/>
      <c r="Q332" s="9"/>
      <c r="R332" s="9"/>
      <c r="S332" s="9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</row>
    <row r="333" spans="1:39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9"/>
      <c r="L333" s="9"/>
      <c r="M333" s="9"/>
      <c r="N333" s="9"/>
      <c r="O333" s="9"/>
      <c r="P333" s="9"/>
      <c r="Q333" s="9"/>
      <c r="R333" s="9"/>
      <c r="S333" s="9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</row>
    <row r="334" spans="1:39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9"/>
      <c r="L334" s="9"/>
      <c r="M334" s="9"/>
      <c r="N334" s="9"/>
      <c r="O334" s="9"/>
      <c r="P334" s="9"/>
      <c r="Q334" s="9"/>
      <c r="R334" s="9"/>
      <c r="S334" s="9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</row>
    <row r="335" spans="1:39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9"/>
      <c r="L335" s="9"/>
      <c r="M335" s="9"/>
      <c r="N335" s="9"/>
      <c r="O335" s="9"/>
      <c r="P335" s="9"/>
      <c r="Q335" s="9"/>
      <c r="R335" s="9"/>
      <c r="S335" s="9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</row>
    <row r="336" spans="1:39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9"/>
      <c r="L336" s="9"/>
      <c r="M336" s="9"/>
      <c r="N336" s="9"/>
      <c r="O336" s="9"/>
      <c r="P336" s="9"/>
      <c r="Q336" s="9"/>
      <c r="R336" s="9"/>
      <c r="S336" s="9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</row>
    <row r="337" spans="1:39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9"/>
      <c r="L337" s="9"/>
      <c r="M337" s="9"/>
      <c r="N337" s="9"/>
      <c r="O337" s="9"/>
      <c r="P337" s="9"/>
      <c r="Q337" s="9"/>
      <c r="R337" s="9"/>
      <c r="S337" s="9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</row>
    <row r="338" spans="1:39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9"/>
      <c r="L338" s="9"/>
      <c r="M338" s="9"/>
      <c r="N338" s="9"/>
      <c r="O338" s="9"/>
      <c r="P338" s="9"/>
      <c r="Q338" s="9"/>
      <c r="R338" s="9"/>
      <c r="S338" s="9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</row>
    <row r="339" spans="1: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9"/>
      <c r="L339" s="9"/>
      <c r="M339" s="9"/>
      <c r="N339" s="9"/>
      <c r="O339" s="9"/>
      <c r="P339" s="9"/>
      <c r="Q339" s="9"/>
      <c r="R339" s="9"/>
      <c r="S339" s="9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</row>
    <row r="340" spans="1:39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9"/>
      <c r="L340" s="9"/>
      <c r="M340" s="9"/>
      <c r="N340" s="9"/>
      <c r="O340" s="9"/>
      <c r="P340" s="9"/>
      <c r="Q340" s="9"/>
      <c r="R340" s="9"/>
      <c r="S340" s="9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</row>
    <row r="341" spans="1:39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9"/>
      <c r="L341" s="9"/>
      <c r="M341" s="9"/>
      <c r="N341" s="9"/>
      <c r="O341" s="9"/>
      <c r="P341" s="9"/>
      <c r="Q341" s="9"/>
      <c r="R341" s="9"/>
      <c r="S341" s="9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</row>
    <row r="342" spans="1:39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9"/>
      <c r="L342" s="9"/>
      <c r="M342" s="9"/>
      <c r="N342" s="9"/>
      <c r="O342" s="9"/>
      <c r="P342" s="9"/>
      <c r="Q342" s="9"/>
      <c r="R342" s="9"/>
      <c r="S342" s="9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</row>
    <row r="343" spans="1:39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9"/>
      <c r="L343" s="9"/>
      <c r="M343" s="9"/>
      <c r="N343" s="9"/>
      <c r="O343" s="9"/>
      <c r="P343" s="9"/>
      <c r="Q343" s="9"/>
      <c r="R343" s="9"/>
      <c r="S343" s="9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</row>
    <row r="344" spans="1:39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9"/>
      <c r="L344" s="9"/>
      <c r="M344" s="9"/>
      <c r="N344" s="9"/>
      <c r="O344" s="9"/>
      <c r="P344" s="9"/>
      <c r="Q344" s="9"/>
      <c r="R344" s="9"/>
      <c r="S344" s="9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</row>
    <row r="345" spans="1:39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9"/>
      <c r="L345" s="9"/>
      <c r="M345" s="9"/>
      <c r="N345" s="9"/>
      <c r="O345" s="9"/>
      <c r="P345" s="9"/>
      <c r="Q345" s="9"/>
      <c r="R345" s="9"/>
      <c r="S345" s="9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</row>
    <row r="346" spans="1:39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9"/>
      <c r="L346" s="9"/>
      <c r="M346" s="9"/>
      <c r="N346" s="9"/>
      <c r="O346" s="9"/>
      <c r="P346" s="9"/>
      <c r="Q346" s="9"/>
      <c r="R346" s="9"/>
      <c r="S346" s="9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</row>
    <row r="347" spans="1:39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9"/>
      <c r="L347" s="9"/>
      <c r="M347" s="9"/>
      <c r="N347" s="9"/>
      <c r="O347" s="9"/>
      <c r="P347" s="9"/>
      <c r="Q347" s="9"/>
      <c r="R347" s="9"/>
      <c r="S347" s="9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</row>
    <row r="348" spans="1:39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9"/>
      <c r="L348" s="9"/>
      <c r="M348" s="9"/>
      <c r="N348" s="9"/>
      <c r="O348" s="9"/>
      <c r="P348" s="9"/>
      <c r="Q348" s="9"/>
      <c r="R348" s="9"/>
      <c r="S348" s="9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</row>
    <row r="349" spans="1:3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9"/>
      <c r="L349" s="9"/>
      <c r="M349" s="9"/>
      <c r="N349" s="9"/>
      <c r="O349" s="9"/>
      <c r="P349" s="9"/>
      <c r="Q349" s="9"/>
      <c r="R349" s="9"/>
      <c r="S349" s="9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</row>
    <row r="350" spans="1:39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9"/>
      <c r="L350" s="9"/>
      <c r="M350" s="9"/>
      <c r="N350" s="9"/>
      <c r="O350" s="9"/>
      <c r="P350" s="9"/>
      <c r="Q350" s="9"/>
      <c r="R350" s="9"/>
      <c r="S350" s="9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</row>
    <row r="351" spans="1:39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9"/>
      <c r="L351" s="9"/>
      <c r="M351" s="9"/>
      <c r="N351" s="9"/>
      <c r="O351" s="9"/>
      <c r="P351" s="9"/>
      <c r="Q351" s="9"/>
      <c r="R351" s="9"/>
      <c r="S351" s="9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</row>
    <row r="352" spans="1:39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9"/>
      <c r="L352" s="9"/>
      <c r="M352" s="9"/>
      <c r="N352" s="9"/>
      <c r="O352" s="9"/>
      <c r="P352" s="9"/>
      <c r="Q352" s="9"/>
      <c r="R352" s="9"/>
      <c r="S352" s="9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</row>
    <row r="353" spans="1:39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9"/>
      <c r="L353" s="9"/>
      <c r="M353" s="9"/>
      <c r="N353" s="9"/>
      <c r="O353" s="9"/>
      <c r="P353" s="9"/>
      <c r="Q353" s="9"/>
      <c r="R353" s="9"/>
      <c r="S353" s="9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</row>
    <row r="354" spans="1:39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9"/>
      <c r="L354" s="9"/>
      <c r="M354" s="9"/>
      <c r="N354" s="9"/>
      <c r="O354" s="9"/>
      <c r="P354" s="9"/>
      <c r="Q354" s="9"/>
      <c r="R354" s="9"/>
      <c r="S354" s="9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</row>
    <row r="355" spans="1:39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9"/>
      <c r="L355" s="9"/>
      <c r="M355" s="9"/>
      <c r="N355" s="9"/>
      <c r="O355" s="9"/>
      <c r="P355" s="9"/>
      <c r="Q355" s="9"/>
      <c r="R355" s="9"/>
      <c r="S355" s="9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</row>
    <row r="356" spans="1:39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9"/>
      <c r="L356" s="9"/>
      <c r="M356" s="9"/>
      <c r="N356" s="9"/>
      <c r="O356" s="9"/>
      <c r="P356" s="9"/>
      <c r="Q356" s="9"/>
      <c r="R356" s="9"/>
      <c r="S356" s="9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</row>
    <row r="357" spans="1:39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9"/>
      <c r="L357" s="9"/>
      <c r="M357" s="9"/>
      <c r="N357" s="9"/>
      <c r="O357" s="9"/>
      <c r="P357" s="9"/>
      <c r="Q357" s="9"/>
      <c r="R357" s="9"/>
      <c r="S357" s="9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</row>
    <row r="358" spans="1:39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9"/>
      <c r="L358" s="9"/>
      <c r="M358" s="9"/>
      <c r="N358" s="9"/>
      <c r="O358" s="9"/>
      <c r="P358" s="9"/>
      <c r="Q358" s="9"/>
      <c r="R358" s="9"/>
      <c r="S358" s="9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</row>
    <row r="359" spans="1:3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9"/>
      <c r="L359" s="9"/>
      <c r="M359" s="9"/>
      <c r="N359" s="9"/>
      <c r="O359" s="9"/>
      <c r="P359" s="9"/>
      <c r="Q359" s="9"/>
      <c r="R359" s="9"/>
      <c r="S359" s="9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</row>
    <row r="360" spans="1:39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9"/>
      <c r="L360" s="9"/>
      <c r="M360" s="9"/>
      <c r="N360" s="9"/>
      <c r="O360" s="9"/>
      <c r="P360" s="9"/>
      <c r="Q360" s="9"/>
      <c r="R360" s="9"/>
      <c r="S360" s="9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</row>
    <row r="361" spans="1:39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9"/>
      <c r="L361" s="9"/>
      <c r="M361" s="9"/>
      <c r="N361" s="9"/>
      <c r="O361" s="9"/>
      <c r="P361" s="9"/>
      <c r="Q361" s="9"/>
      <c r="R361" s="9"/>
      <c r="S361" s="9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</row>
    <row r="362" spans="1:39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9"/>
      <c r="L362" s="9"/>
      <c r="M362" s="9"/>
      <c r="N362" s="9"/>
      <c r="O362" s="9"/>
      <c r="P362" s="9"/>
      <c r="Q362" s="9"/>
      <c r="R362" s="9"/>
      <c r="S362" s="9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</row>
    <row r="363" spans="1:39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9"/>
      <c r="L363" s="9"/>
      <c r="M363" s="9"/>
      <c r="N363" s="9"/>
      <c r="O363" s="9"/>
      <c r="P363" s="9"/>
      <c r="Q363" s="9"/>
      <c r="R363" s="9"/>
      <c r="S363" s="9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</row>
    <row r="364" spans="1:39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9"/>
      <c r="L364" s="9"/>
      <c r="M364" s="9"/>
      <c r="N364" s="9"/>
      <c r="O364" s="9"/>
      <c r="P364" s="9"/>
      <c r="Q364" s="9"/>
      <c r="R364" s="9"/>
      <c r="S364" s="9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</row>
    <row r="365" spans="1:39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9"/>
      <c r="L365" s="9"/>
      <c r="M365" s="9"/>
      <c r="N365" s="9"/>
      <c r="O365" s="9"/>
      <c r="P365" s="9"/>
      <c r="Q365" s="9"/>
      <c r="R365" s="9"/>
      <c r="S365" s="9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</row>
    <row r="366" spans="1:39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9"/>
      <c r="L366" s="9"/>
      <c r="M366" s="9"/>
      <c r="N366" s="9"/>
      <c r="O366" s="9"/>
      <c r="P366" s="9"/>
      <c r="Q366" s="9"/>
      <c r="R366" s="9"/>
      <c r="S366" s="9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</row>
    <row r="367" spans="1:39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9"/>
      <c r="L367" s="9"/>
      <c r="M367" s="9"/>
      <c r="N367" s="9"/>
      <c r="O367" s="9"/>
      <c r="P367" s="9"/>
      <c r="Q367" s="9"/>
      <c r="R367" s="9"/>
      <c r="S367" s="9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</row>
    <row r="368" spans="1:39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9"/>
      <c r="L368" s="9"/>
      <c r="M368" s="9"/>
      <c r="N368" s="9"/>
      <c r="O368" s="9"/>
      <c r="P368" s="9"/>
      <c r="Q368" s="9"/>
      <c r="R368" s="9"/>
      <c r="S368" s="9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</row>
    <row r="369" spans="1:3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9"/>
      <c r="L369" s="9"/>
      <c r="M369" s="9"/>
      <c r="N369" s="9"/>
      <c r="O369" s="9"/>
      <c r="P369" s="9"/>
      <c r="Q369" s="9"/>
      <c r="R369" s="9"/>
      <c r="S369" s="9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</row>
    <row r="370" spans="1:39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9"/>
      <c r="L370" s="9"/>
      <c r="M370" s="9"/>
      <c r="N370" s="9"/>
      <c r="O370" s="9"/>
      <c r="P370" s="9"/>
      <c r="Q370" s="9"/>
      <c r="R370" s="9"/>
      <c r="S370" s="9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</row>
    <row r="371" spans="1:39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9"/>
      <c r="L371" s="9"/>
      <c r="M371" s="9"/>
      <c r="N371" s="9"/>
      <c r="O371" s="9"/>
      <c r="P371" s="9"/>
      <c r="Q371" s="9"/>
      <c r="R371" s="9"/>
      <c r="S371" s="9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</row>
    <row r="372" spans="1:39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9"/>
      <c r="L372" s="9"/>
      <c r="M372" s="9"/>
      <c r="N372" s="9"/>
      <c r="O372" s="9"/>
      <c r="P372" s="9"/>
      <c r="Q372" s="9"/>
      <c r="R372" s="9"/>
      <c r="S372" s="9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</row>
    <row r="373" spans="1:39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9"/>
      <c r="L373" s="9"/>
      <c r="M373" s="9"/>
      <c r="N373" s="9"/>
      <c r="O373" s="9"/>
      <c r="P373" s="9"/>
      <c r="Q373" s="9"/>
      <c r="R373" s="9"/>
      <c r="S373" s="9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</row>
    <row r="374" spans="1:39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9"/>
      <c r="L374" s="9"/>
      <c r="M374" s="9"/>
      <c r="N374" s="9"/>
      <c r="O374" s="9"/>
      <c r="P374" s="9"/>
      <c r="Q374" s="9"/>
      <c r="R374" s="9"/>
      <c r="S374" s="9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</row>
    <row r="375" spans="1:39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9"/>
      <c r="L375" s="9"/>
      <c r="M375" s="9"/>
      <c r="N375" s="9"/>
      <c r="O375" s="9"/>
      <c r="P375" s="9"/>
      <c r="Q375" s="9"/>
      <c r="R375" s="9"/>
      <c r="S375" s="9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</row>
    <row r="376" spans="1:39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9"/>
      <c r="L376" s="9"/>
      <c r="M376" s="9"/>
      <c r="N376" s="9"/>
      <c r="O376" s="9"/>
      <c r="P376" s="9"/>
      <c r="Q376" s="9"/>
      <c r="R376" s="9"/>
      <c r="S376" s="9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</row>
    <row r="377" spans="1:39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9"/>
      <c r="L377" s="9"/>
      <c r="M377" s="9"/>
      <c r="N377" s="9"/>
      <c r="O377" s="9"/>
      <c r="P377" s="9"/>
      <c r="Q377" s="9"/>
      <c r="R377" s="9"/>
      <c r="S377" s="9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</row>
    <row r="378" spans="1:39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9"/>
      <c r="L378" s="9"/>
      <c r="M378" s="9"/>
      <c r="N378" s="9"/>
      <c r="O378" s="9"/>
      <c r="P378" s="9"/>
      <c r="Q378" s="9"/>
      <c r="R378" s="9"/>
      <c r="S378" s="9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</row>
    <row r="379" spans="1:3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9"/>
      <c r="L379" s="9"/>
      <c r="M379" s="9"/>
      <c r="N379" s="9"/>
      <c r="O379" s="9"/>
      <c r="P379" s="9"/>
      <c r="Q379" s="9"/>
      <c r="R379" s="9"/>
      <c r="S379" s="9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</row>
    <row r="380" spans="1:39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9"/>
      <c r="L380" s="9"/>
      <c r="M380" s="9"/>
      <c r="N380" s="9"/>
      <c r="O380" s="9"/>
      <c r="P380" s="9"/>
      <c r="Q380" s="9"/>
      <c r="R380" s="9"/>
      <c r="S380" s="9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</row>
    <row r="381" spans="1:39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9"/>
      <c r="L381" s="9"/>
      <c r="M381" s="9"/>
      <c r="N381" s="9"/>
      <c r="O381" s="9"/>
      <c r="P381" s="9"/>
      <c r="Q381" s="9"/>
      <c r="R381" s="9"/>
      <c r="S381" s="9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</row>
    <row r="382" spans="1:39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9"/>
      <c r="L382" s="9"/>
      <c r="M382" s="9"/>
      <c r="N382" s="9"/>
      <c r="O382" s="9"/>
      <c r="P382" s="9"/>
      <c r="Q382" s="9"/>
      <c r="R382" s="9"/>
      <c r="S382" s="9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</row>
    <row r="383" spans="1:39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9"/>
      <c r="L383" s="9"/>
      <c r="M383" s="9"/>
      <c r="N383" s="9"/>
      <c r="O383" s="9"/>
      <c r="P383" s="9"/>
      <c r="Q383" s="9"/>
      <c r="R383" s="9"/>
      <c r="S383" s="9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</row>
    <row r="384" spans="1:39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9"/>
      <c r="L384" s="9"/>
      <c r="M384" s="9"/>
      <c r="N384" s="9"/>
      <c r="O384" s="9"/>
      <c r="P384" s="9"/>
      <c r="Q384" s="9"/>
      <c r="R384" s="9"/>
      <c r="S384" s="9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</row>
    <row r="385" spans="1:39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9"/>
      <c r="L385" s="9"/>
      <c r="M385" s="9"/>
      <c r="N385" s="9"/>
      <c r="O385" s="9"/>
      <c r="P385" s="9"/>
      <c r="Q385" s="9"/>
      <c r="R385" s="9"/>
      <c r="S385" s="9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</row>
    <row r="386" spans="1:39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9"/>
      <c r="L386" s="9"/>
      <c r="M386" s="9"/>
      <c r="N386" s="9"/>
      <c r="O386" s="9"/>
      <c r="P386" s="9"/>
      <c r="Q386" s="9"/>
      <c r="R386" s="9"/>
      <c r="S386" s="9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</row>
    <row r="387" spans="1:39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9"/>
      <c r="L387" s="9"/>
      <c r="M387" s="9"/>
      <c r="N387" s="9"/>
      <c r="O387" s="9"/>
      <c r="P387" s="9"/>
      <c r="Q387" s="9"/>
      <c r="R387" s="9"/>
      <c r="S387" s="9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</row>
    <row r="388" spans="1:39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9"/>
      <c r="L388" s="9"/>
      <c r="M388" s="9"/>
      <c r="N388" s="9"/>
      <c r="O388" s="9"/>
      <c r="P388" s="9"/>
      <c r="Q388" s="9"/>
      <c r="R388" s="9"/>
      <c r="S388" s="9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</row>
    <row r="389" spans="1:3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9"/>
      <c r="L389" s="9"/>
      <c r="M389" s="9"/>
      <c r="N389" s="9"/>
      <c r="O389" s="9"/>
      <c r="P389" s="9"/>
      <c r="Q389" s="9"/>
      <c r="R389" s="9"/>
      <c r="S389" s="9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</row>
    <row r="390" spans="1:39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9"/>
      <c r="L390" s="9"/>
      <c r="M390" s="9"/>
      <c r="N390" s="9"/>
      <c r="O390" s="9"/>
      <c r="P390" s="9"/>
      <c r="Q390" s="9"/>
      <c r="R390" s="9"/>
      <c r="S390" s="9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</row>
    <row r="391" spans="1:39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9"/>
      <c r="L391" s="9"/>
      <c r="M391" s="9"/>
      <c r="N391" s="9"/>
      <c r="O391" s="9"/>
      <c r="P391" s="9"/>
      <c r="Q391" s="9"/>
      <c r="R391" s="9"/>
      <c r="S391" s="9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</row>
    <row r="392" spans="1:39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9"/>
      <c r="L392" s="9"/>
      <c r="M392" s="9"/>
      <c r="N392" s="9"/>
      <c r="O392" s="9"/>
      <c r="P392" s="9"/>
      <c r="Q392" s="9"/>
      <c r="R392" s="9"/>
      <c r="S392" s="9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</row>
    <row r="393" spans="1:39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9"/>
      <c r="L393" s="9"/>
      <c r="M393" s="9"/>
      <c r="N393" s="9"/>
      <c r="O393" s="9"/>
      <c r="P393" s="9"/>
      <c r="Q393" s="9"/>
      <c r="R393" s="9"/>
      <c r="S393" s="9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</row>
    <row r="394" spans="1:39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9"/>
      <c r="L394" s="9"/>
      <c r="M394" s="9"/>
      <c r="N394" s="9"/>
      <c r="O394" s="9"/>
      <c r="P394" s="9"/>
      <c r="Q394" s="9"/>
      <c r="R394" s="9"/>
      <c r="S394" s="9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</row>
    <row r="395" spans="1:39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9"/>
      <c r="L395" s="9"/>
      <c r="M395" s="9"/>
      <c r="N395" s="9"/>
      <c r="O395" s="9"/>
      <c r="P395" s="9"/>
      <c r="Q395" s="9"/>
      <c r="R395" s="9"/>
      <c r="S395" s="9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</row>
    <row r="396" spans="1:39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9"/>
      <c r="L396" s="9"/>
      <c r="M396" s="9"/>
      <c r="N396" s="9"/>
      <c r="O396" s="9"/>
      <c r="P396" s="9"/>
      <c r="Q396" s="9"/>
      <c r="R396" s="9"/>
      <c r="S396" s="9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</row>
    <row r="397" spans="1:39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9"/>
      <c r="L397" s="9"/>
      <c r="M397" s="9"/>
      <c r="N397" s="9"/>
      <c r="O397" s="9"/>
      <c r="P397" s="9"/>
      <c r="Q397" s="9"/>
      <c r="R397" s="9"/>
      <c r="S397" s="9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</row>
    <row r="398" spans="1:39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9"/>
      <c r="L398" s="9"/>
      <c r="M398" s="9"/>
      <c r="N398" s="9"/>
      <c r="O398" s="9"/>
      <c r="P398" s="9"/>
      <c r="Q398" s="9"/>
      <c r="R398" s="9"/>
      <c r="S398" s="9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</row>
    <row r="399" spans="1:3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9"/>
      <c r="L399" s="9"/>
      <c r="M399" s="9"/>
      <c r="N399" s="9"/>
      <c r="O399" s="9"/>
      <c r="P399" s="9"/>
      <c r="Q399" s="9"/>
      <c r="R399" s="9"/>
      <c r="S399" s="9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</row>
    <row r="400" spans="1:39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9"/>
      <c r="L400" s="9"/>
      <c r="M400" s="9"/>
      <c r="N400" s="9"/>
      <c r="O400" s="9"/>
      <c r="P400" s="9"/>
      <c r="Q400" s="9"/>
      <c r="R400" s="9"/>
      <c r="S400" s="9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</row>
    <row r="401" spans="1:39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9"/>
      <c r="L401" s="9"/>
      <c r="M401" s="9"/>
      <c r="N401" s="9"/>
      <c r="O401" s="9"/>
      <c r="P401" s="9"/>
      <c r="Q401" s="9"/>
      <c r="R401" s="9"/>
      <c r="S401" s="9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</row>
    <row r="402" spans="1:39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9"/>
      <c r="L402" s="9"/>
      <c r="M402" s="9"/>
      <c r="N402" s="9"/>
      <c r="O402" s="9"/>
      <c r="P402" s="9"/>
      <c r="Q402" s="9"/>
      <c r="R402" s="9"/>
      <c r="S402" s="9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</row>
    <row r="403" spans="1:39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9"/>
      <c r="L403" s="9"/>
      <c r="M403" s="9"/>
      <c r="N403" s="9"/>
      <c r="O403" s="9"/>
      <c r="P403" s="9"/>
      <c r="Q403" s="9"/>
      <c r="R403" s="9"/>
      <c r="S403" s="9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</row>
    <row r="404" spans="1:39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9"/>
      <c r="L404" s="9"/>
      <c r="M404" s="9"/>
      <c r="N404" s="9"/>
      <c r="O404" s="9"/>
      <c r="P404" s="9"/>
      <c r="Q404" s="9"/>
      <c r="R404" s="9"/>
      <c r="S404" s="9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</row>
    <row r="405" spans="1:39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9"/>
      <c r="L405" s="9"/>
      <c r="M405" s="9"/>
      <c r="N405" s="9"/>
      <c r="O405" s="9"/>
      <c r="P405" s="9"/>
      <c r="Q405" s="9"/>
      <c r="R405" s="9"/>
      <c r="S405" s="9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</row>
    <row r="406" spans="1:39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9"/>
      <c r="L406" s="9"/>
      <c r="M406" s="9"/>
      <c r="N406" s="9"/>
      <c r="O406" s="9"/>
      <c r="P406" s="9"/>
      <c r="Q406" s="9"/>
      <c r="R406" s="9"/>
      <c r="S406" s="9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</row>
    <row r="407" spans="1:39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9"/>
      <c r="L407" s="9"/>
      <c r="M407" s="9"/>
      <c r="N407" s="9"/>
      <c r="O407" s="9"/>
      <c r="P407" s="9"/>
      <c r="Q407" s="9"/>
      <c r="R407" s="9"/>
      <c r="S407" s="9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</row>
    <row r="408" spans="1:39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9"/>
      <c r="L408" s="9"/>
      <c r="M408" s="9"/>
      <c r="N408" s="9"/>
      <c r="O408" s="9"/>
      <c r="P408" s="9"/>
      <c r="Q408" s="9"/>
      <c r="R408" s="9"/>
      <c r="S408" s="9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</row>
    <row r="409" spans="1:3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9"/>
      <c r="L409" s="9"/>
      <c r="M409" s="9"/>
      <c r="N409" s="9"/>
      <c r="O409" s="9"/>
      <c r="P409" s="9"/>
      <c r="Q409" s="9"/>
      <c r="R409" s="9"/>
      <c r="S409" s="9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</row>
    <row r="410" spans="1:39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9"/>
      <c r="L410" s="9"/>
      <c r="M410" s="9"/>
      <c r="N410" s="9"/>
      <c r="O410" s="9"/>
      <c r="P410" s="9"/>
      <c r="Q410" s="9"/>
      <c r="R410" s="9"/>
      <c r="S410" s="9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</row>
    <row r="411" spans="1:39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9"/>
      <c r="L411" s="9"/>
      <c r="M411" s="9"/>
      <c r="N411" s="9"/>
      <c r="O411" s="9"/>
      <c r="P411" s="9"/>
      <c r="Q411" s="9"/>
      <c r="R411" s="9"/>
      <c r="S411" s="9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</row>
    <row r="412" spans="1:39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9"/>
      <c r="L412" s="9"/>
      <c r="M412" s="9"/>
      <c r="N412" s="9"/>
      <c r="O412" s="9"/>
      <c r="P412" s="9"/>
      <c r="Q412" s="9"/>
      <c r="R412" s="9"/>
      <c r="S412" s="9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</row>
    <row r="413" spans="1:39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9"/>
      <c r="L413" s="9"/>
      <c r="M413" s="9"/>
      <c r="N413" s="9"/>
      <c r="O413" s="9"/>
      <c r="P413" s="9"/>
      <c r="Q413" s="9"/>
      <c r="R413" s="9"/>
      <c r="S413" s="9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</row>
    <row r="414" spans="1:39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9"/>
      <c r="L414" s="9"/>
      <c r="M414" s="9"/>
      <c r="N414" s="9"/>
      <c r="O414" s="9"/>
      <c r="P414" s="9"/>
      <c r="Q414" s="9"/>
      <c r="R414" s="9"/>
      <c r="S414" s="9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</row>
    <row r="415" spans="1:39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9"/>
      <c r="L415" s="9"/>
      <c r="M415" s="9"/>
      <c r="N415" s="9"/>
      <c r="O415" s="9"/>
      <c r="P415" s="9"/>
      <c r="Q415" s="9"/>
      <c r="R415" s="9"/>
      <c r="S415" s="9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</row>
    <row r="416" spans="1:39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9"/>
      <c r="L416" s="9"/>
      <c r="M416" s="9"/>
      <c r="N416" s="9"/>
      <c r="O416" s="9"/>
      <c r="P416" s="9"/>
      <c r="Q416" s="9"/>
      <c r="R416" s="9"/>
      <c r="S416" s="9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</row>
    <row r="417" spans="1:39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9"/>
      <c r="L417" s="9"/>
      <c r="M417" s="9"/>
      <c r="N417" s="9"/>
      <c r="O417" s="9"/>
      <c r="P417" s="9"/>
      <c r="Q417" s="9"/>
      <c r="R417" s="9"/>
      <c r="S417" s="9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</row>
    <row r="418" spans="1:39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9"/>
      <c r="L418" s="9"/>
      <c r="M418" s="9"/>
      <c r="N418" s="9"/>
      <c r="O418" s="9"/>
      <c r="P418" s="9"/>
      <c r="Q418" s="9"/>
      <c r="R418" s="9"/>
      <c r="S418" s="9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</row>
    <row r="419" spans="1:3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9"/>
      <c r="L419" s="9"/>
      <c r="M419" s="9"/>
      <c r="N419" s="9"/>
      <c r="O419" s="9"/>
      <c r="P419" s="9"/>
      <c r="Q419" s="9"/>
      <c r="R419" s="9"/>
      <c r="S419" s="9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</row>
    <row r="420" spans="1:39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9"/>
      <c r="L420" s="9"/>
      <c r="M420" s="9"/>
      <c r="N420" s="9"/>
      <c r="O420" s="9"/>
      <c r="P420" s="9"/>
      <c r="Q420" s="9"/>
      <c r="R420" s="9"/>
      <c r="S420" s="9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</row>
    <row r="421" spans="1:39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9"/>
      <c r="L421" s="9"/>
      <c r="M421" s="9"/>
      <c r="N421" s="9"/>
      <c r="O421" s="9"/>
      <c r="P421" s="9"/>
      <c r="Q421" s="9"/>
      <c r="R421" s="9"/>
      <c r="S421" s="9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</row>
    <row r="422" spans="1:39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9"/>
      <c r="L422" s="9"/>
      <c r="M422" s="9"/>
      <c r="N422" s="9"/>
      <c r="O422" s="9"/>
      <c r="P422" s="9"/>
      <c r="Q422" s="9"/>
      <c r="R422" s="9"/>
      <c r="S422" s="9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</row>
    <row r="423" spans="1:39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9"/>
      <c r="L423" s="9"/>
      <c r="M423" s="9"/>
      <c r="N423" s="9"/>
      <c r="O423" s="9"/>
      <c r="P423" s="9"/>
      <c r="Q423" s="9"/>
      <c r="R423" s="9"/>
      <c r="S423" s="9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</row>
    <row r="424" spans="1:39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9"/>
      <c r="L424" s="9"/>
      <c r="M424" s="9"/>
      <c r="N424" s="9"/>
      <c r="O424" s="9"/>
      <c r="P424" s="9"/>
      <c r="Q424" s="9"/>
      <c r="R424" s="9"/>
      <c r="S424" s="9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</row>
    <row r="425" spans="1:39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9"/>
      <c r="L425" s="9"/>
      <c r="M425" s="9"/>
      <c r="N425" s="9"/>
      <c r="O425" s="9"/>
      <c r="P425" s="9"/>
      <c r="Q425" s="9"/>
      <c r="R425" s="9"/>
      <c r="S425" s="9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</row>
    <row r="426" spans="1:39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9"/>
      <c r="L426" s="9"/>
      <c r="M426" s="9"/>
      <c r="N426" s="9"/>
      <c r="O426" s="9"/>
      <c r="P426" s="9"/>
      <c r="Q426" s="9"/>
      <c r="R426" s="9"/>
      <c r="S426" s="9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</row>
    <row r="427" spans="1:39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9"/>
      <c r="L427" s="9"/>
      <c r="M427" s="9"/>
      <c r="N427" s="9"/>
      <c r="O427" s="9"/>
      <c r="P427" s="9"/>
      <c r="Q427" s="9"/>
      <c r="R427" s="9"/>
      <c r="S427" s="9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</row>
    <row r="428" spans="1:39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9"/>
      <c r="L428" s="9"/>
      <c r="M428" s="9"/>
      <c r="N428" s="9"/>
      <c r="O428" s="9"/>
      <c r="P428" s="9"/>
      <c r="Q428" s="9"/>
      <c r="R428" s="9"/>
      <c r="S428" s="9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</row>
    <row r="429" spans="1:3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9"/>
      <c r="L429" s="9"/>
      <c r="M429" s="9"/>
      <c r="N429" s="9"/>
      <c r="O429" s="9"/>
      <c r="P429" s="9"/>
      <c r="Q429" s="9"/>
      <c r="R429" s="9"/>
      <c r="S429" s="9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</row>
    <row r="430" spans="1:39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9"/>
      <c r="L430" s="9"/>
      <c r="M430" s="9"/>
      <c r="N430" s="9"/>
      <c r="O430" s="9"/>
      <c r="P430" s="9"/>
      <c r="Q430" s="9"/>
      <c r="R430" s="9"/>
      <c r="S430" s="9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</row>
    <row r="431" spans="1:39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9"/>
      <c r="L431" s="9"/>
      <c r="M431" s="9"/>
      <c r="N431" s="9"/>
      <c r="O431" s="9"/>
      <c r="P431" s="9"/>
      <c r="Q431" s="9"/>
      <c r="R431" s="9"/>
      <c r="S431" s="9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</row>
    <row r="432" spans="1:39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9"/>
      <c r="L432" s="9"/>
      <c r="M432" s="9"/>
      <c r="N432" s="9"/>
      <c r="O432" s="9"/>
      <c r="P432" s="9"/>
      <c r="Q432" s="9"/>
      <c r="R432" s="9"/>
      <c r="S432" s="9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</row>
    <row r="433" spans="1:39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9"/>
      <c r="L433" s="9"/>
      <c r="M433" s="9"/>
      <c r="N433" s="9"/>
      <c r="O433" s="9"/>
      <c r="P433" s="9"/>
      <c r="Q433" s="9"/>
      <c r="R433" s="9"/>
      <c r="S433" s="9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</row>
    <row r="434" spans="1:39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9"/>
      <c r="L434" s="9"/>
      <c r="M434" s="9"/>
      <c r="N434" s="9"/>
      <c r="O434" s="9"/>
      <c r="P434" s="9"/>
      <c r="Q434" s="9"/>
      <c r="R434" s="9"/>
      <c r="S434" s="9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</row>
    <row r="435" spans="1:39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9"/>
      <c r="L435" s="9"/>
      <c r="M435" s="9"/>
      <c r="N435" s="9"/>
      <c r="O435" s="9"/>
      <c r="P435" s="9"/>
      <c r="Q435" s="9"/>
      <c r="R435" s="9"/>
      <c r="S435" s="9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</row>
    <row r="436" spans="1:39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9"/>
      <c r="L436" s="9"/>
      <c r="M436" s="9"/>
      <c r="N436" s="9"/>
      <c r="O436" s="9"/>
      <c r="P436" s="9"/>
      <c r="Q436" s="9"/>
      <c r="R436" s="9"/>
      <c r="S436" s="9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</row>
    <row r="437" spans="1:39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9"/>
      <c r="L437" s="9"/>
      <c r="M437" s="9"/>
      <c r="N437" s="9"/>
      <c r="O437" s="9"/>
      <c r="P437" s="9"/>
      <c r="Q437" s="9"/>
      <c r="R437" s="9"/>
      <c r="S437" s="9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</row>
    <row r="438" spans="1:39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9"/>
      <c r="L438" s="9"/>
      <c r="M438" s="9"/>
      <c r="N438" s="9"/>
      <c r="O438" s="9"/>
      <c r="P438" s="9"/>
      <c r="Q438" s="9"/>
      <c r="R438" s="9"/>
      <c r="S438" s="9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</row>
    <row r="439" spans="1: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9"/>
      <c r="L439" s="9"/>
      <c r="M439" s="9"/>
      <c r="N439" s="9"/>
      <c r="O439" s="9"/>
      <c r="P439" s="9"/>
      <c r="Q439" s="9"/>
      <c r="R439" s="9"/>
      <c r="S439" s="9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</row>
    <row r="440" spans="1:39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9"/>
      <c r="L440" s="9"/>
      <c r="M440" s="9"/>
      <c r="N440" s="9"/>
      <c r="O440" s="9"/>
      <c r="P440" s="9"/>
      <c r="Q440" s="9"/>
      <c r="R440" s="9"/>
      <c r="S440" s="9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</row>
    <row r="441" spans="1:39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9"/>
      <c r="L441" s="9"/>
      <c r="M441" s="9"/>
      <c r="N441" s="9"/>
      <c r="O441" s="9"/>
      <c r="P441" s="9"/>
      <c r="Q441" s="9"/>
      <c r="R441" s="9"/>
      <c r="S441" s="9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</row>
    <row r="442" spans="1:39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9"/>
      <c r="L442" s="9"/>
      <c r="M442" s="9"/>
      <c r="N442" s="9"/>
      <c r="O442" s="9"/>
      <c r="P442" s="9"/>
      <c r="Q442" s="9"/>
      <c r="R442" s="9"/>
      <c r="S442" s="9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</row>
    <row r="443" spans="1:39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9"/>
      <c r="L443" s="9"/>
      <c r="M443" s="9"/>
      <c r="N443" s="9"/>
      <c r="O443" s="9"/>
      <c r="P443" s="9"/>
      <c r="Q443" s="9"/>
      <c r="R443" s="9"/>
      <c r="S443" s="9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</row>
    <row r="444" spans="1:39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9"/>
      <c r="L444" s="9"/>
      <c r="M444" s="9"/>
      <c r="N444" s="9"/>
      <c r="O444" s="9"/>
      <c r="P444" s="9"/>
      <c r="Q444" s="9"/>
      <c r="R444" s="9"/>
      <c r="S444" s="9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</row>
    <row r="445" spans="1:39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9"/>
      <c r="L445" s="9"/>
      <c r="M445" s="9"/>
      <c r="N445" s="9"/>
      <c r="O445" s="9"/>
      <c r="P445" s="9"/>
      <c r="Q445" s="9"/>
      <c r="R445" s="9"/>
      <c r="S445" s="9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</row>
    <row r="446" spans="1:39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9"/>
      <c r="L446" s="9"/>
      <c r="M446" s="9"/>
      <c r="N446" s="9"/>
      <c r="O446" s="9"/>
      <c r="P446" s="9"/>
      <c r="Q446" s="9"/>
      <c r="R446" s="9"/>
      <c r="S446" s="9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</row>
    <row r="447" spans="1:39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9"/>
      <c r="L447" s="9"/>
      <c r="M447" s="9"/>
      <c r="N447" s="9"/>
      <c r="O447" s="9"/>
      <c r="P447" s="9"/>
      <c r="Q447" s="9"/>
      <c r="R447" s="9"/>
      <c r="S447" s="9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</row>
    <row r="448" spans="1:39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9"/>
      <c r="L448" s="9"/>
      <c r="M448" s="9"/>
      <c r="N448" s="9"/>
      <c r="O448" s="9"/>
      <c r="P448" s="9"/>
      <c r="Q448" s="9"/>
      <c r="R448" s="9"/>
      <c r="S448" s="9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</row>
    <row r="449" spans="1:3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9"/>
      <c r="L449" s="9"/>
      <c r="M449" s="9"/>
      <c r="N449" s="9"/>
      <c r="O449" s="9"/>
      <c r="P449" s="9"/>
      <c r="Q449" s="9"/>
      <c r="R449" s="9"/>
      <c r="S449" s="9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</row>
    <row r="450" spans="1:39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9"/>
      <c r="L450" s="9"/>
      <c r="M450" s="9"/>
      <c r="N450" s="9"/>
      <c r="O450" s="9"/>
      <c r="P450" s="9"/>
      <c r="Q450" s="9"/>
      <c r="R450" s="9"/>
      <c r="S450" s="9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</row>
    <row r="451" spans="1:39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9"/>
      <c r="L451" s="9"/>
      <c r="M451" s="9"/>
      <c r="N451" s="9"/>
      <c r="O451" s="9"/>
      <c r="P451" s="9"/>
      <c r="Q451" s="9"/>
      <c r="R451" s="9"/>
      <c r="S451" s="9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</row>
    <row r="452" spans="1:39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9"/>
      <c r="L452" s="9"/>
      <c r="M452" s="9"/>
      <c r="N452" s="9"/>
      <c r="O452" s="9"/>
      <c r="P452" s="9"/>
      <c r="Q452" s="9"/>
      <c r="R452" s="9"/>
      <c r="S452" s="9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</row>
    <row r="453" spans="1:39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9"/>
      <c r="L453" s="9"/>
      <c r="M453" s="9"/>
      <c r="N453" s="9"/>
      <c r="O453" s="9"/>
      <c r="P453" s="9"/>
      <c r="Q453" s="9"/>
      <c r="R453" s="9"/>
      <c r="S453" s="9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</row>
    <row r="454" spans="1:39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9"/>
      <c r="L454" s="9"/>
      <c r="M454" s="9"/>
      <c r="N454" s="9"/>
      <c r="O454" s="9"/>
      <c r="P454" s="9"/>
      <c r="Q454" s="9"/>
      <c r="R454" s="9"/>
      <c r="S454" s="9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</row>
    <row r="455" spans="1:39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9"/>
      <c r="L455" s="9"/>
      <c r="M455" s="9"/>
      <c r="N455" s="9"/>
      <c r="O455" s="9"/>
      <c r="P455" s="9"/>
      <c r="Q455" s="9"/>
      <c r="R455" s="9"/>
      <c r="S455" s="9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</row>
    <row r="456" spans="1:39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9"/>
      <c r="L456" s="9"/>
      <c r="M456" s="9"/>
      <c r="N456" s="9"/>
      <c r="O456" s="9"/>
      <c r="P456" s="9"/>
      <c r="Q456" s="9"/>
      <c r="R456" s="9"/>
      <c r="S456" s="9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</row>
    <row r="457" spans="1:39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9"/>
      <c r="L457" s="9"/>
      <c r="M457" s="9"/>
      <c r="N457" s="9"/>
      <c r="O457" s="9"/>
      <c r="P457" s="9"/>
      <c r="Q457" s="9"/>
      <c r="R457" s="9"/>
      <c r="S457" s="9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</row>
    <row r="458" spans="1:39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9"/>
      <c r="L458" s="9"/>
      <c r="M458" s="9"/>
      <c r="N458" s="9"/>
      <c r="O458" s="9"/>
      <c r="P458" s="9"/>
      <c r="Q458" s="9"/>
      <c r="R458" s="9"/>
      <c r="S458" s="9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</row>
    <row r="459" spans="1:3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9"/>
      <c r="L459" s="9"/>
      <c r="M459" s="9"/>
      <c r="N459" s="9"/>
      <c r="O459" s="9"/>
      <c r="P459" s="9"/>
      <c r="Q459" s="9"/>
      <c r="R459" s="9"/>
      <c r="S459" s="9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</row>
    <row r="460" spans="1:39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9"/>
      <c r="L460" s="9"/>
      <c r="M460" s="9"/>
      <c r="N460" s="9"/>
      <c r="O460" s="9"/>
      <c r="P460" s="9"/>
      <c r="Q460" s="9"/>
      <c r="R460" s="9"/>
      <c r="S460" s="9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</row>
    <row r="461" spans="1:39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9"/>
      <c r="L461" s="9"/>
      <c r="M461" s="9"/>
      <c r="N461" s="9"/>
      <c r="O461" s="9"/>
      <c r="P461" s="9"/>
      <c r="Q461" s="9"/>
      <c r="R461" s="9"/>
      <c r="S461" s="9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</row>
    <row r="462" spans="1:39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9"/>
      <c r="L462" s="9"/>
      <c r="M462" s="9"/>
      <c r="N462" s="9"/>
      <c r="O462" s="9"/>
      <c r="P462" s="9"/>
      <c r="Q462" s="9"/>
      <c r="R462" s="9"/>
      <c r="S462" s="9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</row>
    <row r="463" spans="1:39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9"/>
      <c r="L463" s="9"/>
      <c r="M463" s="9"/>
      <c r="N463" s="9"/>
      <c r="O463" s="9"/>
      <c r="P463" s="9"/>
      <c r="Q463" s="9"/>
      <c r="R463" s="9"/>
      <c r="S463" s="9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</row>
    <row r="464" spans="1:39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9"/>
      <c r="L464" s="9"/>
      <c r="M464" s="9"/>
      <c r="N464" s="9"/>
      <c r="O464" s="9"/>
      <c r="P464" s="9"/>
      <c r="Q464" s="9"/>
      <c r="R464" s="9"/>
      <c r="S464" s="9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</row>
    <row r="465" spans="1:39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9"/>
      <c r="L465" s="9"/>
      <c r="M465" s="9"/>
      <c r="N465" s="9"/>
      <c r="O465" s="9"/>
      <c r="P465" s="9"/>
      <c r="Q465" s="9"/>
      <c r="R465" s="9"/>
      <c r="S465" s="9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</row>
    <row r="466" spans="1:39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9"/>
      <c r="L466" s="9"/>
      <c r="M466" s="9"/>
      <c r="N466" s="9"/>
      <c r="O466" s="9"/>
      <c r="P466" s="9"/>
      <c r="Q466" s="9"/>
      <c r="R466" s="9"/>
      <c r="S466" s="9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</row>
    <row r="467" spans="1:39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9"/>
      <c r="L467" s="9"/>
      <c r="M467" s="9"/>
      <c r="N467" s="9"/>
      <c r="O467" s="9"/>
      <c r="P467" s="9"/>
      <c r="Q467" s="9"/>
      <c r="R467" s="9"/>
      <c r="S467" s="9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</row>
    <row r="468" spans="1:39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9"/>
      <c r="L468" s="9"/>
      <c r="M468" s="9"/>
      <c r="N468" s="9"/>
      <c r="O468" s="9"/>
      <c r="P468" s="9"/>
      <c r="Q468" s="9"/>
      <c r="R468" s="9"/>
      <c r="S468" s="9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</row>
    <row r="469" spans="1:3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9"/>
      <c r="L469" s="9"/>
      <c r="M469" s="9"/>
      <c r="N469" s="9"/>
      <c r="O469" s="9"/>
      <c r="P469" s="9"/>
      <c r="Q469" s="9"/>
      <c r="R469" s="9"/>
      <c r="S469" s="9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</row>
    <row r="470" spans="1:39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9"/>
      <c r="L470" s="9"/>
      <c r="M470" s="9"/>
      <c r="N470" s="9"/>
      <c r="O470" s="9"/>
      <c r="P470" s="9"/>
      <c r="Q470" s="9"/>
      <c r="R470" s="9"/>
      <c r="S470" s="9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</row>
    <row r="471" spans="1:39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9"/>
      <c r="L471" s="9"/>
      <c r="M471" s="9"/>
      <c r="N471" s="9"/>
      <c r="O471" s="9"/>
      <c r="P471" s="9"/>
      <c r="Q471" s="9"/>
      <c r="R471" s="9"/>
      <c r="S471" s="9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</row>
    <row r="472" spans="1:39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9"/>
      <c r="L472" s="9"/>
      <c r="M472" s="9"/>
      <c r="N472" s="9"/>
      <c r="O472" s="9"/>
      <c r="P472" s="9"/>
      <c r="Q472" s="9"/>
      <c r="R472" s="9"/>
      <c r="S472" s="9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</row>
    <row r="473" spans="1:39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9"/>
      <c r="L473" s="9"/>
      <c r="M473" s="9"/>
      <c r="N473" s="9"/>
      <c r="O473" s="9"/>
      <c r="P473" s="9"/>
      <c r="Q473" s="9"/>
      <c r="R473" s="9"/>
      <c r="S473" s="9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</row>
    <row r="474" spans="1:39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9"/>
      <c r="L474" s="9"/>
      <c r="M474" s="9"/>
      <c r="N474" s="9"/>
      <c r="O474" s="9"/>
      <c r="P474" s="9"/>
      <c r="Q474" s="9"/>
      <c r="R474" s="9"/>
      <c r="S474" s="9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</row>
    <row r="475" spans="1:39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9"/>
      <c r="L475" s="9"/>
      <c r="M475" s="9"/>
      <c r="N475" s="9"/>
      <c r="O475" s="9"/>
      <c r="P475" s="9"/>
      <c r="Q475" s="9"/>
      <c r="R475" s="9"/>
      <c r="S475" s="9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</row>
    <row r="476" spans="1:39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9"/>
      <c r="L476" s="9"/>
      <c r="M476" s="9"/>
      <c r="N476" s="9"/>
      <c r="O476" s="9"/>
      <c r="P476" s="9"/>
      <c r="Q476" s="9"/>
      <c r="R476" s="9"/>
      <c r="S476" s="9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</row>
    <row r="477" spans="1:39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9"/>
      <c r="L477" s="9"/>
      <c r="M477" s="9"/>
      <c r="N477" s="9"/>
      <c r="O477" s="9"/>
      <c r="P477" s="9"/>
      <c r="Q477" s="9"/>
      <c r="R477" s="9"/>
      <c r="S477" s="9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</row>
    <row r="478" spans="1:39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9"/>
      <c r="L478" s="9"/>
      <c r="M478" s="9"/>
      <c r="N478" s="9"/>
      <c r="O478" s="9"/>
      <c r="P478" s="9"/>
      <c r="Q478" s="9"/>
      <c r="R478" s="9"/>
      <c r="S478" s="9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</row>
    <row r="479" spans="1:3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9"/>
      <c r="L479" s="9"/>
      <c r="M479" s="9"/>
      <c r="N479" s="9"/>
      <c r="O479" s="9"/>
      <c r="P479" s="9"/>
      <c r="Q479" s="9"/>
      <c r="R479" s="9"/>
      <c r="S479" s="9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</row>
    <row r="480" spans="1:39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9"/>
      <c r="L480" s="9"/>
      <c r="M480" s="9"/>
      <c r="N480" s="9"/>
      <c r="O480" s="9"/>
      <c r="P480" s="9"/>
      <c r="Q480" s="9"/>
      <c r="R480" s="9"/>
      <c r="S480" s="9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</row>
    <row r="481" spans="1:39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9"/>
      <c r="L481" s="9"/>
      <c r="M481" s="9"/>
      <c r="N481" s="9"/>
      <c r="O481" s="9"/>
      <c r="P481" s="9"/>
      <c r="Q481" s="9"/>
      <c r="R481" s="9"/>
      <c r="S481" s="9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</row>
    <row r="482" spans="1:39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9"/>
      <c r="L482" s="9"/>
      <c r="M482" s="9"/>
      <c r="N482" s="9"/>
      <c r="O482" s="9"/>
      <c r="P482" s="9"/>
      <c r="Q482" s="9"/>
      <c r="R482" s="9"/>
      <c r="S482" s="9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</row>
    <row r="483" spans="1:39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9"/>
      <c r="L483" s="9"/>
      <c r="M483" s="9"/>
      <c r="N483" s="9"/>
      <c r="O483" s="9"/>
      <c r="P483" s="9"/>
      <c r="Q483" s="9"/>
      <c r="R483" s="9"/>
      <c r="S483" s="9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</row>
    <row r="484" spans="1:39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9"/>
      <c r="L484" s="9"/>
      <c r="M484" s="9"/>
      <c r="N484" s="9"/>
      <c r="O484" s="9"/>
      <c r="P484" s="9"/>
      <c r="Q484" s="9"/>
      <c r="R484" s="9"/>
      <c r="S484" s="9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</row>
    <row r="485" spans="1:39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9"/>
      <c r="L485" s="9"/>
      <c r="M485" s="9"/>
      <c r="N485" s="9"/>
      <c r="O485" s="9"/>
      <c r="P485" s="9"/>
      <c r="Q485" s="9"/>
      <c r="R485" s="9"/>
      <c r="S485" s="9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</row>
    <row r="486" spans="1:39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9"/>
      <c r="L486" s="9"/>
      <c r="M486" s="9"/>
      <c r="N486" s="9"/>
      <c r="O486" s="9"/>
      <c r="P486" s="9"/>
      <c r="Q486" s="9"/>
      <c r="R486" s="9"/>
      <c r="S486" s="9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</row>
    <row r="487" spans="1:39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9"/>
      <c r="L487" s="9"/>
      <c r="M487" s="9"/>
      <c r="N487" s="9"/>
      <c r="O487" s="9"/>
      <c r="P487" s="9"/>
      <c r="Q487" s="9"/>
      <c r="R487" s="9"/>
      <c r="S487" s="9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</row>
    <row r="488" spans="1:39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9"/>
      <c r="L488" s="9"/>
      <c r="M488" s="9"/>
      <c r="N488" s="9"/>
      <c r="O488" s="9"/>
      <c r="P488" s="9"/>
      <c r="Q488" s="9"/>
      <c r="R488" s="9"/>
      <c r="S488" s="9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</row>
    <row r="489" spans="1:3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9"/>
      <c r="L489" s="9"/>
      <c r="M489" s="9"/>
      <c r="N489" s="9"/>
      <c r="O489" s="9"/>
      <c r="P489" s="9"/>
      <c r="Q489" s="9"/>
      <c r="R489" s="9"/>
      <c r="S489" s="9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</row>
    <row r="490" spans="1:39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9"/>
      <c r="L490" s="9"/>
      <c r="M490" s="9"/>
      <c r="N490" s="9"/>
      <c r="O490" s="9"/>
      <c r="P490" s="9"/>
      <c r="Q490" s="9"/>
      <c r="R490" s="9"/>
      <c r="S490" s="9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</row>
    <row r="491" spans="1:39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9"/>
      <c r="L491" s="9"/>
      <c r="M491" s="9"/>
      <c r="N491" s="9"/>
      <c r="O491" s="9"/>
      <c r="P491" s="9"/>
      <c r="Q491" s="9"/>
      <c r="R491" s="9"/>
      <c r="S491" s="9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</row>
    <row r="492" spans="1:39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9"/>
      <c r="L492" s="9"/>
      <c r="M492" s="9"/>
      <c r="N492" s="9"/>
      <c r="O492" s="9"/>
      <c r="P492" s="9"/>
      <c r="Q492" s="9"/>
      <c r="R492" s="9"/>
      <c r="S492" s="9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</row>
    <row r="493" spans="1:39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9"/>
      <c r="L493" s="9"/>
      <c r="M493" s="9"/>
      <c r="N493" s="9"/>
      <c r="O493" s="9"/>
      <c r="P493" s="9"/>
      <c r="Q493" s="9"/>
      <c r="R493" s="9"/>
      <c r="S493" s="9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</row>
    <row r="494" spans="1:39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9"/>
      <c r="L494" s="9"/>
      <c r="M494" s="9"/>
      <c r="N494" s="9"/>
      <c r="O494" s="9"/>
      <c r="P494" s="9"/>
      <c r="Q494" s="9"/>
      <c r="R494" s="9"/>
      <c r="S494" s="9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</row>
    <row r="495" spans="1:39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9"/>
      <c r="L495" s="9"/>
      <c r="M495" s="9"/>
      <c r="N495" s="9"/>
      <c r="O495" s="9"/>
      <c r="P495" s="9"/>
      <c r="Q495" s="9"/>
      <c r="R495" s="9"/>
      <c r="S495" s="9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</row>
    <row r="496" spans="1:39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9"/>
      <c r="L496" s="9"/>
      <c r="M496" s="9"/>
      <c r="N496" s="9"/>
      <c r="O496" s="9"/>
      <c r="P496" s="9"/>
      <c r="Q496" s="9"/>
      <c r="R496" s="9"/>
      <c r="S496" s="9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</row>
    <row r="497" spans="1:39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9"/>
      <c r="L497" s="9"/>
      <c r="M497" s="9"/>
      <c r="N497" s="9"/>
      <c r="O497" s="9"/>
      <c r="P497" s="9"/>
      <c r="Q497" s="9"/>
      <c r="R497" s="9"/>
      <c r="S497" s="9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</row>
    <row r="498" spans="1:39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9"/>
      <c r="L498" s="9"/>
      <c r="M498" s="9"/>
      <c r="N498" s="9"/>
      <c r="O498" s="9"/>
      <c r="P498" s="9"/>
      <c r="Q498" s="9"/>
      <c r="R498" s="9"/>
      <c r="S498" s="9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</row>
    <row r="499" spans="1:3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9"/>
      <c r="L499" s="9"/>
      <c r="M499" s="9"/>
      <c r="N499" s="9"/>
      <c r="O499" s="9"/>
      <c r="P499" s="9"/>
      <c r="Q499" s="9"/>
      <c r="R499" s="9"/>
      <c r="S499" s="9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</row>
    <row r="500" spans="1:39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9"/>
      <c r="L500" s="9"/>
      <c r="M500" s="9"/>
      <c r="N500" s="9"/>
      <c r="O500" s="9"/>
      <c r="P500" s="9"/>
      <c r="Q500" s="9"/>
      <c r="R500" s="9"/>
      <c r="S500" s="9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</row>
    <row r="501" spans="1:39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9"/>
      <c r="L501" s="9"/>
      <c r="M501" s="9"/>
      <c r="N501" s="9"/>
      <c r="O501" s="9"/>
      <c r="P501" s="9"/>
      <c r="Q501" s="9"/>
      <c r="R501" s="9"/>
      <c r="S501" s="9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</row>
    <row r="502" spans="1:39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9"/>
      <c r="L502" s="9"/>
      <c r="M502" s="9"/>
      <c r="N502" s="9"/>
      <c r="O502" s="9"/>
      <c r="P502" s="9"/>
      <c r="Q502" s="9"/>
      <c r="R502" s="9"/>
      <c r="S502" s="9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</row>
    <row r="503" spans="1:39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9"/>
      <c r="L503" s="9"/>
      <c r="M503" s="9"/>
      <c r="N503" s="9"/>
      <c r="O503" s="9"/>
      <c r="P503" s="9"/>
      <c r="Q503" s="9"/>
      <c r="R503" s="9"/>
      <c r="S503" s="9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</row>
    <row r="504" spans="1:39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9"/>
      <c r="L504" s="9"/>
      <c r="M504" s="9"/>
      <c r="N504" s="9"/>
      <c r="O504" s="9"/>
      <c r="P504" s="9"/>
      <c r="Q504" s="9"/>
      <c r="R504" s="9"/>
      <c r="S504" s="9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</row>
    <row r="505" spans="1:39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9"/>
      <c r="L505" s="9"/>
      <c r="M505" s="9"/>
      <c r="N505" s="9"/>
      <c r="O505" s="9"/>
      <c r="P505" s="9"/>
      <c r="Q505" s="9"/>
      <c r="R505" s="9"/>
      <c r="S505" s="9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</row>
    <row r="506" spans="1:39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9"/>
      <c r="L506" s="9"/>
      <c r="M506" s="9"/>
      <c r="N506" s="9"/>
      <c r="O506" s="9"/>
      <c r="P506" s="9"/>
      <c r="Q506" s="9"/>
      <c r="R506" s="9"/>
      <c r="S506" s="9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</row>
    <row r="507" spans="1:39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9"/>
      <c r="L507" s="9"/>
      <c r="M507" s="9"/>
      <c r="N507" s="9"/>
      <c r="O507" s="9"/>
      <c r="P507" s="9"/>
      <c r="Q507" s="9"/>
      <c r="R507" s="9"/>
      <c r="S507" s="9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</row>
    <row r="508" spans="1:39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9"/>
      <c r="L508" s="9"/>
      <c r="M508" s="9"/>
      <c r="N508" s="9"/>
      <c r="O508" s="9"/>
      <c r="P508" s="9"/>
      <c r="Q508" s="9"/>
      <c r="R508" s="9"/>
      <c r="S508" s="9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</row>
    <row r="509" spans="1:3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9"/>
      <c r="L509" s="9"/>
      <c r="M509" s="9"/>
      <c r="N509" s="9"/>
      <c r="O509" s="9"/>
      <c r="P509" s="9"/>
      <c r="Q509" s="9"/>
      <c r="R509" s="9"/>
      <c r="S509" s="9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</row>
    <row r="510" spans="1:39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9"/>
      <c r="L510" s="9"/>
      <c r="M510" s="9"/>
      <c r="N510" s="9"/>
      <c r="O510" s="9"/>
      <c r="P510" s="9"/>
      <c r="Q510" s="9"/>
      <c r="R510" s="9"/>
      <c r="S510" s="9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</row>
    <row r="511" spans="1:39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9"/>
      <c r="L511" s="9"/>
      <c r="M511" s="9"/>
      <c r="N511" s="9"/>
      <c r="O511" s="9"/>
      <c r="P511" s="9"/>
      <c r="Q511" s="9"/>
      <c r="R511" s="9"/>
      <c r="S511" s="9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</row>
    <row r="512" spans="1:39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9"/>
      <c r="L512" s="9"/>
      <c r="M512" s="9"/>
      <c r="N512" s="9"/>
      <c r="O512" s="9"/>
      <c r="P512" s="9"/>
      <c r="Q512" s="9"/>
      <c r="R512" s="9"/>
      <c r="S512" s="9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</row>
    <row r="513" spans="1:39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9"/>
      <c r="L513" s="9"/>
      <c r="M513" s="9"/>
      <c r="N513" s="9"/>
      <c r="O513" s="9"/>
      <c r="P513" s="9"/>
      <c r="Q513" s="9"/>
      <c r="R513" s="9"/>
      <c r="S513" s="9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</row>
    <row r="514" spans="1:39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9"/>
      <c r="L514" s="9"/>
      <c r="M514" s="9"/>
      <c r="N514" s="9"/>
      <c r="O514" s="9"/>
      <c r="P514" s="9"/>
      <c r="Q514" s="9"/>
      <c r="R514" s="9"/>
      <c r="S514" s="9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</row>
    <row r="515" spans="1:39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9"/>
      <c r="L515" s="9"/>
      <c r="M515" s="9"/>
      <c r="N515" s="9"/>
      <c r="O515" s="9"/>
      <c r="P515" s="9"/>
      <c r="Q515" s="9"/>
      <c r="R515" s="9"/>
      <c r="S515" s="9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</row>
    <row r="516" spans="1:39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9"/>
      <c r="L516" s="9"/>
      <c r="M516" s="9"/>
      <c r="N516" s="9"/>
      <c r="O516" s="9"/>
      <c r="P516" s="9"/>
      <c r="Q516" s="9"/>
      <c r="R516" s="9"/>
      <c r="S516" s="9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</row>
    <row r="517" spans="1:39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9"/>
      <c r="L517" s="9"/>
      <c r="M517" s="9"/>
      <c r="N517" s="9"/>
      <c r="O517" s="9"/>
      <c r="P517" s="9"/>
      <c r="Q517" s="9"/>
      <c r="R517" s="9"/>
      <c r="S517" s="9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</row>
    <row r="518" spans="1:39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9"/>
      <c r="L518" s="9"/>
      <c r="M518" s="9"/>
      <c r="N518" s="9"/>
      <c r="O518" s="9"/>
      <c r="P518" s="9"/>
      <c r="Q518" s="9"/>
      <c r="R518" s="9"/>
      <c r="S518" s="9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</row>
    <row r="519" spans="1:3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9"/>
      <c r="L519" s="9"/>
      <c r="M519" s="9"/>
      <c r="N519" s="9"/>
      <c r="O519" s="9"/>
      <c r="P519" s="9"/>
      <c r="Q519" s="9"/>
      <c r="R519" s="9"/>
      <c r="S519" s="9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</row>
    <row r="520" spans="1:39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9"/>
      <c r="L520" s="9"/>
      <c r="M520" s="9"/>
      <c r="N520" s="9"/>
      <c r="O520" s="9"/>
      <c r="P520" s="9"/>
      <c r="Q520" s="9"/>
      <c r="R520" s="9"/>
      <c r="S520" s="9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</row>
    <row r="521" spans="1:39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9"/>
      <c r="L521" s="9"/>
      <c r="M521" s="9"/>
      <c r="N521" s="9"/>
      <c r="O521" s="9"/>
      <c r="P521" s="9"/>
      <c r="Q521" s="9"/>
      <c r="R521" s="9"/>
      <c r="S521" s="9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</row>
    <row r="522" spans="1:39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9"/>
      <c r="L522" s="9"/>
      <c r="M522" s="9"/>
      <c r="N522" s="9"/>
      <c r="O522" s="9"/>
      <c r="P522" s="9"/>
      <c r="Q522" s="9"/>
      <c r="R522" s="9"/>
      <c r="S522" s="9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</row>
    <row r="523" spans="1:39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9"/>
      <c r="L523" s="9"/>
      <c r="M523" s="9"/>
      <c r="N523" s="9"/>
      <c r="O523" s="9"/>
      <c r="P523" s="9"/>
      <c r="Q523" s="9"/>
      <c r="R523" s="9"/>
      <c r="S523" s="9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</row>
    <row r="524" spans="1:39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9"/>
      <c r="L524" s="9"/>
      <c r="M524" s="9"/>
      <c r="N524" s="9"/>
      <c r="O524" s="9"/>
      <c r="P524" s="9"/>
      <c r="Q524" s="9"/>
      <c r="R524" s="9"/>
      <c r="S524" s="9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</row>
    <row r="525" spans="1:39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9"/>
      <c r="L525" s="9"/>
      <c r="M525" s="9"/>
      <c r="N525" s="9"/>
      <c r="O525" s="9"/>
      <c r="P525" s="9"/>
      <c r="Q525" s="9"/>
      <c r="R525" s="9"/>
      <c r="S525" s="9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</row>
    <row r="526" spans="1:39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9"/>
      <c r="L526" s="9"/>
      <c r="M526" s="9"/>
      <c r="N526" s="9"/>
      <c r="O526" s="9"/>
      <c r="P526" s="9"/>
      <c r="Q526" s="9"/>
      <c r="R526" s="9"/>
      <c r="S526" s="9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</row>
    <row r="527" spans="1:39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9"/>
      <c r="L527" s="9"/>
      <c r="M527" s="9"/>
      <c r="N527" s="9"/>
      <c r="O527" s="9"/>
      <c r="P527" s="9"/>
      <c r="Q527" s="9"/>
      <c r="R527" s="9"/>
      <c r="S527" s="9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</row>
    <row r="528" spans="1:39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9"/>
      <c r="L528" s="9"/>
      <c r="M528" s="9"/>
      <c r="N528" s="9"/>
      <c r="O528" s="9"/>
      <c r="P528" s="9"/>
      <c r="Q528" s="9"/>
      <c r="R528" s="9"/>
      <c r="S528" s="9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</row>
    <row r="529" spans="1:3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9"/>
      <c r="L529" s="9"/>
      <c r="M529" s="9"/>
      <c r="N529" s="9"/>
      <c r="O529" s="9"/>
      <c r="P529" s="9"/>
      <c r="Q529" s="9"/>
      <c r="R529" s="9"/>
      <c r="S529" s="9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</row>
    <row r="530" spans="1:39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9"/>
      <c r="L530" s="9"/>
      <c r="M530" s="9"/>
      <c r="N530" s="9"/>
      <c r="O530" s="9"/>
      <c r="P530" s="9"/>
      <c r="Q530" s="9"/>
      <c r="R530" s="9"/>
      <c r="S530" s="9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</row>
    <row r="531" spans="1:39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9"/>
      <c r="L531" s="9"/>
      <c r="M531" s="9"/>
      <c r="N531" s="9"/>
      <c r="O531" s="9"/>
      <c r="P531" s="9"/>
      <c r="Q531" s="9"/>
      <c r="R531" s="9"/>
      <c r="S531" s="9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</row>
    <row r="532" spans="1:39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9"/>
      <c r="L532" s="9"/>
      <c r="M532" s="9"/>
      <c r="N532" s="9"/>
      <c r="O532" s="9"/>
      <c r="P532" s="9"/>
      <c r="Q532" s="9"/>
      <c r="R532" s="9"/>
      <c r="S532" s="9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</row>
    <row r="533" spans="1:39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9"/>
      <c r="L533" s="9"/>
      <c r="M533" s="9"/>
      <c r="N533" s="9"/>
      <c r="O533" s="9"/>
      <c r="P533" s="9"/>
      <c r="Q533" s="9"/>
      <c r="R533" s="9"/>
      <c r="S533" s="9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</row>
    <row r="534" spans="1:39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9"/>
      <c r="L534" s="9"/>
      <c r="M534" s="9"/>
      <c r="N534" s="9"/>
      <c r="O534" s="9"/>
      <c r="P534" s="9"/>
      <c r="Q534" s="9"/>
      <c r="R534" s="9"/>
      <c r="S534" s="9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</row>
    <row r="535" spans="1:39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9"/>
      <c r="L535" s="9"/>
      <c r="M535" s="9"/>
      <c r="N535" s="9"/>
      <c r="O535" s="9"/>
      <c r="P535" s="9"/>
      <c r="Q535" s="9"/>
      <c r="R535" s="9"/>
      <c r="S535" s="9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</row>
    <row r="536" spans="1:39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9"/>
      <c r="L536" s="9"/>
      <c r="M536" s="9"/>
      <c r="N536" s="9"/>
      <c r="O536" s="9"/>
      <c r="P536" s="9"/>
      <c r="Q536" s="9"/>
      <c r="R536" s="9"/>
      <c r="S536" s="9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</row>
    <row r="537" spans="1:39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9"/>
      <c r="L537" s="9"/>
      <c r="M537" s="9"/>
      <c r="N537" s="9"/>
      <c r="O537" s="9"/>
      <c r="P537" s="9"/>
      <c r="Q537" s="9"/>
      <c r="R537" s="9"/>
      <c r="S537" s="9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</row>
    <row r="538" spans="1:39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9"/>
      <c r="L538" s="9"/>
      <c r="M538" s="9"/>
      <c r="N538" s="9"/>
      <c r="O538" s="9"/>
      <c r="P538" s="9"/>
      <c r="Q538" s="9"/>
      <c r="R538" s="9"/>
      <c r="S538" s="9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</row>
    <row r="539" spans="1: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9"/>
      <c r="L539" s="9"/>
      <c r="M539" s="9"/>
      <c r="N539" s="9"/>
      <c r="O539" s="9"/>
      <c r="P539" s="9"/>
      <c r="Q539" s="9"/>
      <c r="R539" s="9"/>
      <c r="S539" s="9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</row>
    <row r="540" spans="1:39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9"/>
      <c r="L540" s="9"/>
      <c r="M540" s="9"/>
      <c r="N540" s="9"/>
      <c r="O540" s="9"/>
      <c r="P540" s="9"/>
      <c r="Q540" s="9"/>
      <c r="R540" s="9"/>
      <c r="S540" s="9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</row>
    <row r="541" spans="1:39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9"/>
      <c r="L541" s="9"/>
      <c r="M541" s="9"/>
      <c r="N541" s="9"/>
      <c r="O541" s="9"/>
      <c r="P541" s="9"/>
      <c r="Q541" s="9"/>
      <c r="R541" s="9"/>
      <c r="S541" s="9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</row>
    <row r="542" spans="1:39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9"/>
      <c r="L542" s="9"/>
      <c r="M542" s="9"/>
      <c r="N542" s="9"/>
      <c r="O542" s="9"/>
      <c r="P542" s="9"/>
      <c r="Q542" s="9"/>
      <c r="R542" s="9"/>
      <c r="S542" s="9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</row>
    <row r="543" spans="1:39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9"/>
      <c r="L543" s="9"/>
      <c r="M543" s="9"/>
      <c r="N543" s="9"/>
      <c r="O543" s="9"/>
      <c r="P543" s="9"/>
      <c r="Q543" s="9"/>
      <c r="R543" s="9"/>
      <c r="S543" s="9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</row>
    <row r="544" spans="1:39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9"/>
      <c r="L544" s="9"/>
      <c r="M544" s="9"/>
      <c r="N544" s="9"/>
      <c r="O544" s="9"/>
      <c r="P544" s="9"/>
      <c r="Q544" s="9"/>
      <c r="R544" s="9"/>
      <c r="S544" s="9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</row>
    <row r="545" spans="1:39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9"/>
      <c r="L545" s="9"/>
      <c r="M545" s="9"/>
      <c r="N545" s="9"/>
      <c r="O545" s="9"/>
      <c r="P545" s="9"/>
      <c r="Q545" s="9"/>
      <c r="R545" s="9"/>
      <c r="S545" s="9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</row>
    <row r="546" spans="1:39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9"/>
      <c r="L546" s="9"/>
      <c r="M546" s="9"/>
      <c r="N546" s="9"/>
      <c r="O546" s="9"/>
      <c r="P546" s="9"/>
      <c r="Q546" s="9"/>
      <c r="R546" s="9"/>
      <c r="S546" s="9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</row>
    <row r="547" spans="1:39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9"/>
      <c r="L547" s="9"/>
      <c r="M547" s="9"/>
      <c r="N547" s="9"/>
      <c r="O547" s="9"/>
      <c r="P547" s="9"/>
      <c r="Q547" s="9"/>
      <c r="R547" s="9"/>
      <c r="S547" s="9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</row>
    <row r="548" spans="1:39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9"/>
      <c r="L548" s="9"/>
      <c r="M548" s="9"/>
      <c r="N548" s="9"/>
      <c r="O548" s="9"/>
      <c r="P548" s="9"/>
      <c r="Q548" s="9"/>
      <c r="R548" s="9"/>
      <c r="S548" s="9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</row>
    <row r="549" spans="1:3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9"/>
      <c r="L549" s="9"/>
      <c r="M549" s="9"/>
      <c r="N549" s="9"/>
      <c r="O549" s="9"/>
      <c r="P549" s="9"/>
      <c r="Q549" s="9"/>
      <c r="R549" s="9"/>
      <c r="S549" s="9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</row>
    <row r="550" spans="1:39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9"/>
      <c r="L550" s="9"/>
      <c r="M550" s="9"/>
      <c r="N550" s="9"/>
      <c r="O550" s="9"/>
      <c r="P550" s="9"/>
      <c r="Q550" s="9"/>
      <c r="R550" s="9"/>
      <c r="S550" s="9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</row>
    <row r="551" spans="1:39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9"/>
      <c r="L551" s="9"/>
      <c r="M551" s="9"/>
      <c r="N551" s="9"/>
      <c r="O551" s="9"/>
      <c r="P551" s="9"/>
      <c r="Q551" s="9"/>
      <c r="R551" s="9"/>
      <c r="S551" s="9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</row>
    <row r="552" spans="1:39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9"/>
      <c r="L552" s="9"/>
      <c r="M552" s="9"/>
      <c r="N552" s="9"/>
      <c r="O552" s="9"/>
      <c r="P552" s="9"/>
      <c r="Q552" s="9"/>
      <c r="R552" s="9"/>
      <c r="S552" s="9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</row>
    <row r="553" spans="1:39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9"/>
      <c r="L553" s="9"/>
      <c r="M553" s="9"/>
      <c r="N553" s="9"/>
      <c r="O553" s="9"/>
      <c r="P553" s="9"/>
      <c r="Q553" s="9"/>
      <c r="R553" s="9"/>
      <c r="S553" s="9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</row>
    <row r="554" spans="1:39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9"/>
      <c r="L554" s="9"/>
      <c r="M554" s="9"/>
      <c r="N554" s="9"/>
      <c r="O554" s="9"/>
      <c r="P554" s="9"/>
      <c r="Q554" s="9"/>
      <c r="R554" s="9"/>
      <c r="S554" s="9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</row>
    <row r="555" spans="1:39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9"/>
      <c r="L555" s="9"/>
      <c r="M555" s="9"/>
      <c r="N555" s="9"/>
      <c r="O555" s="9"/>
      <c r="P555" s="9"/>
      <c r="Q555" s="9"/>
      <c r="R555" s="9"/>
      <c r="S555" s="9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</row>
    <row r="556" spans="1:39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9"/>
      <c r="L556" s="9"/>
      <c r="M556" s="9"/>
      <c r="N556" s="9"/>
      <c r="O556" s="9"/>
      <c r="P556" s="9"/>
      <c r="Q556" s="9"/>
      <c r="R556" s="9"/>
      <c r="S556" s="9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</row>
    <row r="557" spans="1:39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9"/>
      <c r="L557" s="9"/>
      <c r="M557" s="9"/>
      <c r="N557" s="9"/>
      <c r="O557" s="9"/>
      <c r="P557" s="9"/>
      <c r="Q557" s="9"/>
      <c r="R557" s="9"/>
      <c r="S557" s="9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</row>
    <row r="558" spans="1:39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9"/>
      <c r="L558" s="9"/>
      <c r="M558" s="9"/>
      <c r="N558" s="9"/>
      <c r="O558" s="9"/>
      <c r="P558" s="9"/>
      <c r="Q558" s="9"/>
      <c r="R558" s="9"/>
      <c r="S558" s="9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</row>
    <row r="559" spans="1:3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9"/>
      <c r="L559" s="9"/>
      <c r="M559" s="9"/>
      <c r="N559" s="9"/>
      <c r="O559" s="9"/>
      <c r="P559" s="9"/>
      <c r="Q559" s="9"/>
      <c r="R559" s="9"/>
      <c r="S559" s="9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</row>
    <row r="560" spans="1:39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9"/>
      <c r="L560" s="9"/>
      <c r="M560" s="9"/>
      <c r="N560" s="9"/>
      <c r="O560" s="9"/>
      <c r="P560" s="9"/>
      <c r="Q560" s="9"/>
      <c r="R560" s="9"/>
      <c r="S560" s="9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</row>
    <row r="561" spans="1:39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9"/>
      <c r="L561" s="9"/>
      <c r="M561" s="9"/>
      <c r="N561" s="9"/>
      <c r="O561" s="9"/>
      <c r="P561" s="9"/>
      <c r="Q561" s="9"/>
      <c r="R561" s="9"/>
      <c r="S561" s="9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</row>
    <row r="562" spans="1:39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9"/>
      <c r="L562" s="9"/>
      <c r="M562" s="9"/>
      <c r="N562" s="9"/>
      <c r="O562" s="9"/>
      <c r="P562" s="9"/>
      <c r="Q562" s="9"/>
      <c r="R562" s="9"/>
      <c r="S562" s="9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</row>
    <row r="563" spans="1:39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9"/>
      <c r="L563" s="9"/>
      <c r="M563" s="9"/>
      <c r="N563" s="9"/>
      <c r="O563" s="9"/>
      <c r="P563" s="9"/>
      <c r="Q563" s="9"/>
      <c r="R563" s="9"/>
      <c r="S563" s="9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</row>
    <row r="564" spans="1:39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9"/>
      <c r="L564" s="9"/>
      <c r="M564" s="9"/>
      <c r="N564" s="9"/>
      <c r="O564" s="9"/>
      <c r="P564" s="9"/>
      <c r="Q564" s="9"/>
      <c r="R564" s="9"/>
      <c r="S564" s="9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</row>
    <row r="565" spans="1:39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9"/>
      <c r="L565" s="9"/>
      <c r="M565" s="9"/>
      <c r="N565" s="9"/>
      <c r="O565" s="9"/>
      <c r="P565" s="9"/>
      <c r="Q565" s="9"/>
      <c r="R565" s="9"/>
      <c r="S565" s="9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</row>
    <row r="566" spans="1:39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9"/>
      <c r="L566" s="9"/>
      <c r="M566" s="9"/>
      <c r="N566" s="9"/>
      <c r="O566" s="9"/>
      <c r="P566" s="9"/>
      <c r="Q566" s="9"/>
      <c r="R566" s="9"/>
      <c r="S566" s="9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</row>
    <row r="567" spans="1:39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9"/>
      <c r="L567" s="9"/>
      <c r="M567" s="9"/>
      <c r="N567" s="9"/>
      <c r="O567" s="9"/>
      <c r="P567" s="9"/>
      <c r="Q567" s="9"/>
      <c r="R567" s="9"/>
      <c r="S567" s="9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</row>
    <row r="568" spans="1:39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9"/>
      <c r="L568" s="9"/>
      <c r="M568" s="9"/>
      <c r="N568" s="9"/>
      <c r="O568" s="9"/>
      <c r="P568" s="9"/>
      <c r="Q568" s="9"/>
      <c r="R568" s="9"/>
      <c r="S568" s="9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</row>
    <row r="569" spans="1:3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9"/>
      <c r="L569" s="9"/>
      <c r="M569" s="9"/>
      <c r="N569" s="9"/>
      <c r="O569" s="9"/>
      <c r="P569" s="9"/>
      <c r="Q569" s="9"/>
      <c r="R569" s="9"/>
      <c r="S569" s="9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</row>
    <row r="570" spans="1:39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9"/>
      <c r="L570" s="9"/>
      <c r="M570" s="9"/>
      <c r="N570" s="9"/>
      <c r="O570" s="9"/>
      <c r="P570" s="9"/>
      <c r="Q570" s="9"/>
      <c r="R570" s="9"/>
      <c r="S570" s="9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</row>
    <row r="571" spans="1:39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9"/>
      <c r="L571" s="9"/>
      <c r="M571" s="9"/>
      <c r="N571" s="9"/>
      <c r="O571" s="9"/>
      <c r="P571" s="9"/>
      <c r="Q571" s="9"/>
      <c r="R571" s="9"/>
      <c r="S571" s="9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</row>
    <row r="572" spans="1:39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9"/>
      <c r="L572" s="9"/>
      <c r="M572" s="9"/>
      <c r="N572" s="9"/>
      <c r="O572" s="9"/>
      <c r="P572" s="9"/>
      <c r="Q572" s="9"/>
      <c r="R572" s="9"/>
      <c r="S572" s="9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</row>
    <row r="573" spans="1:39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9"/>
      <c r="L573" s="9"/>
      <c r="M573" s="9"/>
      <c r="N573" s="9"/>
      <c r="O573" s="9"/>
      <c r="P573" s="9"/>
      <c r="Q573" s="9"/>
      <c r="R573" s="9"/>
      <c r="S573" s="9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</row>
    <row r="574" spans="1:39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9"/>
      <c r="L574" s="9"/>
      <c r="M574" s="9"/>
      <c r="N574" s="9"/>
      <c r="O574" s="9"/>
      <c r="P574" s="9"/>
      <c r="Q574" s="9"/>
      <c r="R574" s="9"/>
      <c r="S574" s="9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</row>
    <row r="575" spans="1:39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9"/>
      <c r="L575" s="9"/>
      <c r="M575" s="9"/>
      <c r="N575" s="9"/>
      <c r="O575" s="9"/>
      <c r="P575" s="9"/>
      <c r="Q575" s="9"/>
      <c r="R575" s="9"/>
      <c r="S575" s="9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</row>
    <row r="576" spans="1:39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9"/>
      <c r="L576" s="9"/>
      <c r="M576" s="9"/>
      <c r="N576" s="9"/>
      <c r="O576" s="9"/>
      <c r="P576" s="9"/>
      <c r="Q576" s="9"/>
      <c r="R576" s="9"/>
      <c r="S576" s="9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</row>
    <row r="577" spans="1:39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9"/>
      <c r="L577" s="9"/>
      <c r="M577" s="9"/>
      <c r="N577" s="9"/>
      <c r="O577" s="9"/>
      <c r="P577" s="9"/>
      <c r="Q577" s="9"/>
      <c r="R577" s="9"/>
      <c r="S577" s="9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</row>
    <row r="578" spans="1:39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9"/>
      <c r="L578" s="9"/>
      <c r="M578" s="9"/>
      <c r="N578" s="9"/>
      <c r="O578" s="9"/>
      <c r="P578" s="9"/>
      <c r="Q578" s="9"/>
      <c r="R578" s="9"/>
      <c r="S578" s="9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</row>
    <row r="579" spans="1:3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9"/>
      <c r="L579" s="9"/>
      <c r="M579" s="9"/>
      <c r="N579" s="9"/>
      <c r="O579" s="9"/>
      <c r="P579" s="9"/>
      <c r="Q579" s="9"/>
      <c r="R579" s="9"/>
      <c r="S579" s="9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</row>
    <row r="580" spans="1:39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9"/>
      <c r="L580" s="9"/>
      <c r="M580" s="9"/>
      <c r="N580" s="9"/>
      <c r="O580" s="9"/>
      <c r="P580" s="9"/>
      <c r="Q580" s="9"/>
      <c r="R580" s="9"/>
      <c r="S580" s="9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</row>
    <row r="581" spans="1:39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9"/>
      <c r="L581" s="9"/>
      <c r="M581" s="9"/>
      <c r="N581" s="9"/>
      <c r="O581" s="9"/>
      <c r="P581" s="9"/>
      <c r="Q581" s="9"/>
      <c r="R581" s="9"/>
      <c r="S581" s="9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</row>
    <row r="582" spans="1:39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9"/>
      <c r="L582" s="9"/>
      <c r="M582" s="9"/>
      <c r="N582" s="9"/>
      <c r="O582" s="9"/>
      <c r="P582" s="9"/>
      <c r="Q582" s="9"/>
      <c r="R582" s="9"/>
      <c r="S582" s="9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</row>
    <row r="583" spans="1:39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9"/>
      <c r="L583" s="9"/>
      <c r="M583" s="9"/>
      <c r="N583" s="9"/>
      <c r="O583" s="9"/>
      <c r="P583" s="9"/>
      <c r="Q583" s="9"/>
      <c r="R583" s="9"/>
      <c r="S583" s="9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</row>
    <row r="584" spans="1:39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9"/>
      <c r="L584" s="9"/>
      <c r="M584" s="9"/>
      <c r="N584" s="9"/>
      <c r="O584" s="9"/>
      <c r="P584" s="9"/>
      <c r="Q584" s="9"/>
      <c r="R584" s="9"/>
      <c r="S584" s="9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</row>
    <row r="585" spans="1:39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9"/>
      <c r="L585" s="9"/>
      <c r="M585" s="9"/>
      <c r="N585" s="9"/>
      <c r="O585" s="9"/>
      <c r="P585" s="9"/>
      <c r="Q585" s="9"/>
      <c r="R585" s="9"/>
      <c r="S585" s="9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</row>
    <row r="586" spans="1:39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9"/>
      <c r="L586" s="9"/>
      <c r="M586" s="9"/>
      <c r="N586" s="9"/>
      <c r="O586" s="9"/>
      <c r="P586" s="9"/>
      <c r="Q586" s="9"/>
      <c r="R586" s="9"/>
      <c r="S586" s="9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</row>
    <row r="587" spans="1:39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9"/>
      <c r="L587" s="9"/>
      <c r="M587" s="9"/>
      <c r="N587" s="9"/>
      <c r="O587" s="9"/>
      <c r="P587" s="9"/>
      <c r="Q587" s="9"/>
      <c r="R587" s="9"/>
      <c r="S587" s="9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</row>
    <row r="588" spans="1:39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9"/>
      <c r="L588" s="9"/>
      <c r="M588" s="9"/>
      <c r="N588" s="9"/>
      <c r="O588" s="9"/>
      <c r="P588" s="9"/>
      <c r="Q588" s="9"/>
      <c r="R588" s="9"/>
      <c r="S588" s="9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</row>
    <row r="589" spans="1:3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9"/>
      <c r="L589" s="9"/>
      <c r="M589" s="9"/>
      <c r="N589" s="9"/>
      <c r="O589" s="9"/>
      <c r="P589" s="9"/>
      <c r="Q589" s="9"/>
      <c r="R589" s="9"/>
      <c r="S589" s="9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</row>
    <row r="590" spans="1:39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9"/>
      <c r="L590" s="9"/>
      <c r="M590" s="9"/>
      <c r="N590" s="9"/>
      <c r="O590" s="9"/>
      <c r="P590" s="9"/>
      <c r="Q590" s="9"/>
      <c r="R590" s="9"/>
      <c r="S590" s="9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</row>
    <row r="591" spans="1:39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9"/>
      <c r="L591" s="9"/>
      <c r="M591" s="9"/>
      <c r="N591" s="9"/>
      <c r="O591" s="9"/>
      <c r="P591" s="9"/>
      <c r="Q591" s="9"/>
      <c r="R591" s="9"/>
      <c r="S591" s="9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</row>
    <row r="592" spans="1:39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9"/>
      <c r="L592" s="9"/>
      <c r="M592" s="9"/>
      <c r="N592" s="9"/>
      <c r="O592" s="9"/>
      <c r="P592" s="9"/>
      <c r="Q592" s="9"/>
      <c r="R592" s="9"/>
      <c r="S592" s="9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</row>
    <row r="593" spans="1:39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9"/>
      <c r="L593" s="9"/>
      <c r="M593" s="9"/>
      <c r="N593" s="9"/>
      <c r="O593" s="9"/>
      <c r="P593" s="9"/>
      <c r="Q593" s="9"/>
      <c r="R593" s="9"/>
      <c r="S593" s="9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</row>
    <row r="594" spans="1:39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9"/>
      <c r="L594" s="9"/>
      <c r="M594" s="9"/>
      <c r="N594" s="9"/>
      <c r="O594" s="9"/>
      <c r="P594" s="9"/>
      <c r="Q594" s="9"/>
      <c r="R594" s="9"/>
      <c r="S594" s="9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</row>
    <row r="595" spans="1:39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9"/>
      <c r="L595" s="9"/>
      <c r="M595" s="9"/>
      <c r="N595" s="9"/>
      <c r="O595" s="9"/>
      <c r="P595" s="9"/>
      <c r="Q595" s="9"/>
      <c r="R595" s="9"/>
      <c r="S595" s="9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</row>
    <row r="596" spans="1:39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9"/>
      <c r="L596" s="9"/>
      <c r="M596" s="9"/>
      <c r="N596" s="9"/>
      <c r="O596" s="9"/>
      <c r="P596" s="9"/>
      <c r="Q596" s="9"/>
      <c r="R596" s="9"/>
      <c r="S596" s="9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</row>
    <row r="597" spans="1:39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9"/>
      <c r="L597" s="9"/>
      <c r="M597" s="9"/>
      <c r="N597" s="9"/>
      <c r="O597" s="9"/>
      <c r="P597" s="9"/>
      <c r="Q597" s="9"/>
      <c r="R597" s="9"/>
      <c r="S597" s="9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</row>
    <row r="598" spans="1:39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9"/>
      <c r="L598" s="9"/>
      <c r="M598" s="9"/>
      <c r="N598" s="9"/>
      <c r="O598" s="9"/>
      <c r="P598" s="9"/>
      <c r="Q598" s="9"/>
      <c r="R598" s="9"/>
      <c r="S598" s="9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</row>
    <row r="599" spans="1:3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9"/>
      <c r="L599" s="9"/>
      <c r="M599" s="9"/>
      <c r="N599" s="9"/>
      <c r="O599" s="9"/>
      <c r="P599" s="9"/>
      <c r="Q599" s="9"/>
      <c r="R599" s="9"/>
      <c r="S599" s="9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</row>
    <row r="600" spans="1:39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9"/>
      <c r="L600" s="9"/>
      <c r="M600" s="9"/>
      <c r="N600" s="9"/>
      <c r="O600" s="9"/>
      <c r="P600" s="9"/>
      <c r="Q600" s="9"/>
      <c r="R600" s="9"/>
      <c r="S600" s="9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</row>
    <row r="601" spans="1:39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9"/>
      <c r="L601" s="9"/>
      <c r="M601" s="9"/>
      <c r="N601" s="9"/>
      <c r="O601" s="9"/>
      <c r="P601" s="9"/>
      <c r="Q601" s="9"/>
      <c r="R601" s="9"/>
      <c r="S601" s="9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</row>
    <row r="602" spans="1:39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9"/>
      <c r="L602" s="9"/>
      <c r="M602" s="9"/>
      <c r="N602" s="9"/>
      <c r="O602" s="9"/>
      <c r="P602" s="9"/>
      <c r="Q602" s="9"/>
      <c r="R602" s="9"/>
      <c r="S602" s="9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</row>
    <row r="603" spans="1:39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9"/>
      <c r="L603" s="9"/>
      <c r="M603" s="9"/>
      <c r="N603" s="9"/>
      <c r="O603" s="9"/>
      <c r="P603" s="9"/>
      <c r="Q603" s="9"/>
      <c r="R603" s="9"/>
      <c r="S603" s="9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</row>
    <row r="604" spans="1:39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9"/>
      <c r="L604" s="9"/>
      <c r="M604" s="9"/>
      <c r="N604" s="9"/>
      <c r="O604" s="9"/>
      <c r="P604" s="9"/>
      <c r="Q604" s="9"/>
      <c r="R604" s="9"/>
      <c r="S604" s="9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</row>
    <row r="605" spans="1:39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9"/>
      <c r="L605" s="9"/>
      <c r="M605" s="9"/>
      <c r="N605" s="9"/>
      <c r="O605" s="9"/>
      <c r="P605" s="9"/>
      <c r="Q605" s="9"/>
      <c r="R605" s="9"/>
      <c r="S605" s="9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</row>
    <row r="606" spans="1:39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9"/>
      <c r="L606" s="9"/>
      <c r="M606" s="9"/>
      <c r="N606" s="9"/>
      <c r="O606" s="9"/>
      <c r="P606" s="9"/>
      <c r="Q606" s="9"/>
      <c r="R606" s="9"/>
      <c r="S606" s="9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</row>
    <row r="607" spans="1:39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9"/>
      <c r="L607" s="9"/>
      <c r="M607" s="9"/>
      <c r="N607" s="9"/>
      <c r="O607" s="9"/>
      <c r="P607" s="9"/>
      <c r="Q607" s="9"/>
      <c r="R607" s="9"/>
      <c r="S607" s="9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</row>
    <row r="608" spans="1:39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9"/>
      <c r="L608" s="9"/>
      <c r="M608" s="9"/>
      <c r="N608" s="9"/>
      <c r="O608" s="9"/>
      <c r="P608" s="9"/>
      <c r="Q608" s="9"/>
      <c r="R608" s="9"/>
      <c r="S608" s="9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</row>
    <row r="609" spans="1:3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9"/>
      <c r="L609" s="9"/>
      <c r="M609" s="9"/>
      <c r="N609" s="9"/>
      <c r="O609" s="9"/>
      <c r="P609" s="9"/>
      <c r="Q609" s="9"/>
      <c r="R609" s="9"/>
      <c r="S609" s="9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</row>
    <row r="610" spans="1:39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9"/>
      <c r="L610" s="9"/>
      <c r="M610" s="9"/>
      <c r="N610" s="9"/>
      <c r="O610" s="9"/>
      <c r="P610" s="9"/>
      <c r="Q610" s="9"/>
      <c r="R610" s="9"/>
      <c r="S610" s="9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</row>
    <row r="611" spans="1:39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9"/>
      <c r="L611" s="9"/>
      <c r="M611" s="9"/>
      <c r="N611" s="9"/>
      <c r="O611" s="9"/>
      <c r="P611" s="9"/>
      <c r="Q611" s="9"/>
      <c r="R611" s="9"/>
      <c r="S611" s="9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</row>
    <row r="612" spans="1:39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9"/>
      <c r="L612" s="9"/>
      <c r="M612" s="9"/>
      <c r="N612" s="9"/>
      <c r="O612" s="9"/>
      <c r="P612" s="9"/>
      <c r="Q612" s="9"/>
      <c r="R612" s="9"/>
      <c r="S612" s="9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</row>
    <row r="613" spans="1:39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9"/>
      <c r="L613" s="9"/>
      <c r="M613" s="9"/>
      <c r="N613" s="9"/>
      <c r="O613" s="9"/>
      <c r="P613" s="9"/>
      <c r="Q613" s="9"/>
      <c r="R613" s="9"/>
      <c r="S613" s="9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</row>
    <row r="614" spans="1:39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9"/>
      <c r="L614" s="9"/>
      <c r="M614" s="9"/>
      <c r="N614" s="9"/>
      <c r="O614" s="9"/>
      <c r="P614" s="9"/>
      <c r="Q614" s="9"/>
      <c r="R614" s="9"/>
      <c r="S614" s="9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</row>
    <row r="615" spans="1:39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9"/>
      <c r="L615" s="9"/>
      <c r="M615" s="9"/>
      <c r="N615" s="9"/>
      <c r="O615" s="9"/>
      <c r="P615" s="9"/>
      <c r="Q615" s="9"/>
      <c r="R615" s="9"/>
      <c r="S615" s="9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</row>
    <row r="616" spans="1:39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9"/>
      <c r="L616" s="9"/>
      <c r="M616" s="9"/>
      <c r="N616" s="9"/>
      <c r="O616" s="9"/>
      <c r="P616" s="9"/>
      <c r="Q616" s="9"/>
      <c r="R616" s="9"/>
      <c r="S616" s="9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</row>
    <row r="617" spans="1:39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9"/>
      <c r="L617" s="9"/>
      <c r="M617" s="9"/>
      <c r="N617" s="9"/>
      <c r="O617" s="9"/>
      <c r="P617" s="9"/>
      <c r="Q617" s="9"/>
      <c r="R617" s="9"/>
      <c r="S617" s="9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</row>
    <row r="618" spans="1:39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9"/>
      <c r="L618" s="9"/>
      <c r="M618" s="9"/>
      <c r="N618" s="9"/>
      <c r="O618" s="9"/>
      <c r="P618" s="9"/>
      <c r="Q618" s="9"/>
      <c r="R618" s="9"/>
      <c r="S618" s="9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</row>
    <row r="619" spans="1:3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9"/>
      <c r="L619" s="9"/>
      <c r="M619" s="9"/>
      <c r="N619" s="9"/>
      <c r="O619" s="9"/>
      <c r="P619" s="9"/>
      <c r="Q619" s="9"/>
      <c r="R619" s="9"/>
      <c r="S619" s="9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</row>
    <row r="620" spans="1:39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9"/>
      <c r="L620" s="9"/>
      <c r="M620" s="9"/>
      <c r="N620" s="9"/>
      <c r="O620" s="9"/>
      <c r="P620" s="9"/>
      <c r="Q620" s="9"/>
      <c r="R620" s="9"/>
      <c r="S620" s="9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</row>
    <row r="621" spans="1:39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9"/>
      <c r="L621" s="9"/>
      <c r="M621" s="9"/>
      <c r="N621" s="9"/>
      <c r="O621" s="9"/>
      <c r="P621" s="9"/>
      <c r="Q621" s="9"/>
      <c r="R621" s="9"/>
      <c r="S621" s="9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</row>
    <row r="622" spans="1:39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9"/>
      <c r="L622" s="9"/>
      <c r="M622" s="9"/>
      <c r="N622" s="9"/>
      <c r="O622" s="9"/>
      <c r="P622" s="9"/>
      <c r="Q622" s="9"/>
      <c r="R622" s="9"/>
      <c r="S622" s="9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</row>
    <row r="623" spans="1:39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9"/>
      <c r="L623" s="9"/>
      <c r="M623" s="9"/>
      <c r="N623" s="9"/>
      <c r="O623" s="9"/>
      <c r="P623" s="9"/>
      <c r="Q623" s="9"/>
      <c r="R623" s="9"/>
      <c r="S623" s="9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</row>
    <row r="624" spans="1:39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9"/>
      <c r="L624" s="9"/>
      <c r="M624" s="9"/>
      <c r="N624" s="9"/>
      <c r="O624" s="9"/>
      <c r="P624" s="9"/>
      <c r="Q624" s="9"/>
      <c r="R624" s="9"/>
      <c r="S624" s="9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</row>
    <row r="625" spans="1:39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9"/>
      <c r="L625" s="9"/>
      <c r="M625" s="9"/>
      <c r="N625" s="9"/>
      <c r="O625" s="9"/>
      <c r="P625" s="9"/>
      <c r="Q625" s="9"/>
      <c r="R625" s="9"/>
      <c r="S625" s="9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</row>
    <row r="626" spans="1:39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9"/>
      <c r="L626" s="9"/>
      <c r="M626" s="9"/>
      <c r="N626" s="9"/>
      <c r="O626" s="9"/>
      <c r="P626" s="9"/>
      <c r="Q626" s="9"/>
      <c r="R626" s="9"/>
      <c r="S626" s="9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</row>
    <row r="627" spans="1:39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9"/>
      <c r="L627" s="9"/>
      <c r="M627" s="9"/>
      <c r="N627" s="9"/>
      <c r="O627" s="9"/>
      <c r="P627" s="9"/>
      <c r="Q627" s="9"/>
      <c r="R627" s="9"/>
      <c r="S627" s="9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</row>
    <row r="628" spans="1:39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9"/>
      <c r="L628" s="9"/>
      <c r="M628" s="9"/>
      <c r="N628" s="9"/>
      <c r="O628" s="9"/>
      <c r="P628" s="9"/>
      <c r="Q628" s="9"/>
      <c r="R628" s="9"/>
      <c r="S628" s="9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</row>
    <row r="629" spans="1:3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9"/>
      <c r="L629" s="9"/>
      <c r="M629" s="9"/>
      <c r="N629" s="9"/>
      <c r="O629" s="9"/>
      <c r="P629" s="9"/>
      <c r="Q629" s="9"/>
      <c r="R629" s="9"/>
      <c r="S629" s="9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</row>
    <row r="630" spans="1:39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9"/>
      <c r="L630" s="9"/>
      <c r="M630" s="9"/>
      <c r="N630" s="9"/>
      <c r="O630" s="9"/>
      <c r="P630" s="9"/>
      <c r="Q630" s="9"/>
      <c r="R630" s="9"/>
      <c r="S630" s="9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</row>
    <row r="631" spans="1:39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9"/>
      <c r="L631" s="9"/>
      <c r="M631" s="9"/>
      <c r="N631" s="9"/>
      <c r="O631" s="9"/>
      <c r="P631" s="9"/>
      <c r="Q631" s="9"/>
      <c r="R631" s="9"/>
      <c r="S631" s="9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</row>
    <row r="632" spans="1:39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9"/>
      <c r="L632" s="9"/>
      <c r="M632" s="9"/>
      <c r="N632" s="9"/>
      <c r="O632" s="9"/>
      <c r="P632" s="9"/>
      <c r="Q632" s="9"/>
      <c r="R632" s="9"/>
      <c r="S632" s="9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</row>
    <row r="633" spans="1:39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9"/>
      <c r="L633" s="9"/>
      <c r="M633" s="9"/>
      <c r="N633" s="9"/>
      <c r="O633" s="9"/>
      <c r="P633" s="9"/>
      <c r="Q633" s="9"/>
      <c r="R633" s="9"/>
      <c r="S633" s="9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</row>
    <row r="634" spans="1:39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9"/>
      <c r="L634" s="9"/>
      <c r="M634" s="9"/>
      <c r="N634" s="9"/>
      <c r="O634" s="9"/>
      <c r="P634" s="9"/>
      <c r="Q634" s="9"/>
      <c r="R634" s="9"/>
      <c r="S634" s="9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</row>
    <row r="635" spans="1:39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9"/>
      <c r="L635" s="9"/>
      <c r="M635" s="9"/>
      <c r="N635" s="9"/>
      <c r="O635" s="9"/>
      <c r="P635" s="9"/>
      <c r="Q635" s="9"/>
      <c r="R635" s="9"/>
      <c r="S635" s="9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</row>
    <row r="636" spans="1:39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9"/>
      <c r="L636" s="9"/>
      <c r="M636" s="9"/>
      <c r="N636" s="9"/>
      <c r="O636" s="9"/>
      <c r="P636" s="9"/>
      <c r="Q636" s="9"/>
      <c r="R636" s="9"/>
      <c r="S636" s="9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</row>
    <row r="637" spans="1:39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9"/>
      <c r="L637" s="9"/>
      <c r="M637" s="9"/>
      <c r="N637" s="9"/>
      <c r="O637" s="9"/>
      <c r="P637" s="9"/>
      <c r="Q637" s="9"/>
      <c r="R637" s="9"/>
      <c r="S637" s="9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</row>
    <row r="638" spans="1:39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9"/>
      <c r="L638" s="9"/>
      <c r="M638" s="9"/>
      <c r="N638" s="9"/>
      <c r="O638" s="9"/>
      <c r="P638" s="9"/>
      <c r="Q638" s="9"/>
      <c r="R638" s="9"/>
      <c r="S638" s="9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</row>
    <row r="639" spans="1: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9"/>
      <c r="L639" s="9"/>
      <c r="M639" s="9"/>
      <c r="N639" s="9"/>
      <c r="O639" s="9"/>
      <c r="P639" s="9"/>
      <c r="Q639" s="9"/>
      <c r="R639" s="9"/>
      <c r="S639" s="9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</row>
    <row r="640" spans="1:39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9"/>
      <c r="L640" s="9"/>
      <c r="M640" s="9"/>
      <c r="N640" s="9"/>
      <c r="O640" s="9"/>
      <c r="P640" s="9"/>
      <c r="Q640" s="9"/>
      <c r="R640" s="9"/>
      <c r="S640" s="9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</row>
    <row r="641" spans="1:39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9"/>
      <c r="L641" s="9"/>
      <c r="M641" s="9"/>
      <c r="N641" s="9"/>
      <c r="O641" s="9"/>
      <c r="P641" s="9"/>
      <c r="Q641" s="9"/>
      <c r="R641" s="9"/>
      <c r="S641" s="9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</row>
    <row r="642" spans="1:39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9"/>
      <c r="L642" s="9"/>
      <c r="M642" s="9"/>
      <c r="N642" s="9"/>
      <c r="O642" s="9"/>
      <c r="P642" s="9"/>
      <c r="Q642" s="9"/>
      <c r="R642" s="9"/>
      <c r="S642" s="9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</row>
    <row r="643" spans="1:39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9"/>
      <c r="L643" s="9"/>
      <c r="M643" s="9"/>
      <c r="N643" s="9"/>
      <c r="O643" s="9"/>
      <c r="P643" s="9"/>
      <c r="Q643" s="9"/>
      <c r="R643" s="9"/>
      <c r="S643" s="9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</row>
    <row r="644" spans="1:39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9"/>
      <c r="L644" s="9"/>
      <c r="M644" s="9"/>
      <c r="N644" s="9"/>
      <c r="O644" s="9"/>
      <c r="P644" s="9"/>
      <c r="Q644" s="9"/>
      <c r="R644" s="9"/>
      <c r="S644" s="9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</row>
    <row r="645" spans="1:39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9"/>
      <c r="L645" s="9"/>
      <c r="M645" s="9"/>
      <c r="N645" s="9"/>
      <c r="O645" s="9"/>
      <c r="P645" s="9"/>
      <c r="Q645" s="9"/>
      <c r="R645" s="9"/>
      <c r="S645" s="9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</row>
    <row r="646" spans="1:39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9"/>
      <c r="L646" s="9"/>
      <c r="M646" s="9"/>
      <c r="N646" s="9"/>
      <c r="O646" s="9"/>
      <c r="P646" s="9"/>
      <c r="Q646" s="9"/>
      <c r="R646" s="9"/>
      <c r="S646" s="9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</row>
    <row r="647" spans="1:39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9"/>
      <c r="L647" s="9"/>
      <c r="M647" s="9"/>
      <c r="N647" s="9"/>
      <c r="O647" s="9"/>
      <c r="P647" s="9"/>
      <c r="Q647" s="9"/>
      <c r="R647" s="9"/>
      <c r="S647" s="9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</row>
    <row r="648" spans="1:39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9"/>
      <c r="L648" s="9"/>
      <c r="M648" s="9"/>
      <c r="N648" s="9"/>
      <c r="O648" s="9"/>
      <c r="P648" s="9"/>
      <c r="Q648" s="9"/>
      <c r="R648" s="9"/>
      <c r="S648" s="9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</row>
    <row r="649" spans="1:3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9"/>
      <c r="L649" s="9"/>
      <c r="M649" s="9"/>
      <c r="N649" s="9"/>
      <c r="O649" s="9"/>
      <c r="P649" s="9"/>
      <c r="Q649" s="9"/>
      <c r="R649" s="9"/>
      <c r="S649" s="9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</row>
    <row r="650" spans="1:39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9"/>
      <c r="L650" s="9"/>
      <c r="M650" s="9"/>
      <c r="N650" s="9"/>
      <c r="O650" s="9"/>
      <c r="P650" s="9"/>
      <c r="Q650" s="9"/>
      <c r="R650" s="9"/>
      <c r="S650" s="9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</row>
    <row r="651" spans="1:39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9"/>
      <c r="L651" s="9"/>
      <c r="M651" s="9"/>
      <c r="N651" s="9"/>
      <c r="O651" s="9"/>
      <c r="P651" s="9"/>
      <c r="Q651" s="9"/>
      <c r="R651" s="9"/>
      <c r="S651" s="9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</row>
    <row r="652" spans="1:39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9"/>
      <c r="L652" s="9"/>
      <c r="M652" s="9"/>
      <c r="N652" s="9"/>
      <c r="O652" s="9"/>
      <c r="P652" s="9"/>
      <c r="Q652" s="9"/>
      <c r="R652" s="9"/>
      <c r="S652" s="9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</row>
    <row r="653" spans="1:39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9"/>
      <c r="L653" s="9"/>
      <c r="M653" s="9"/>
      <c r="N653" s="9"/>
      <c r="O653" s="9"/>
      <c r="P653" s="9"/>
      <c r="Q653" s="9"/>
      <c r="R653" s="9"/>
      <c r="S653" s="9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</row>
    <row r="654" spans="1:39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9"/>
      <c r="L654" s="9"/>
      <c r="M654" s="9"/>
      <c r="N654" s="9"/>
      <c r="O654" s="9"/>
      <c r="P654" s="9"/>
      <c r="Q654" s="9"/>
      <c r="R654" s="9"/>
      <c r="S654" s="9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</row>
    <row r="655" spans="1:39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9"/>
      <c r="L655" s="9"/>
      <c r="M655" s="9"/>
      <c r="N655" s="9"/>
      <c r="O655" s="9"/>
      <c r="P655" s="9"/>
      <c r="Q655" s="9"/>
      <c r="R655" s="9"/>
      <c r="S655" s="9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</row>
    <row r="656" spans="1:39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9"/>
      <c r="L656" s="9"/>
      <c r="M656" s="9"/>
      <c r="N656" s="9"/>
      <c r="O656" s="9"/>
      <c r="P656" s="9"/>
      <c r="Q656" s="9"/>
      <c r="R656" s="9"/>
      <c r="S656" s="9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</row>
    <row r="657" spans="1:39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9"/>
      <c r="L657" s="9"/>
      <c r="M657" s="9"/>
      <c r="N657" s="9"/>
      <c r="O657" s="9"/>
      <c r="P657" s="9"/>
      <c r="Q657" s="9"/>
      <c r="R657" s="9"/>
      <c r="S657" s="9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</row>
    <row r="658" spans="1:39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9"/>
      <c r="L658" s="9"/>
      <c r="M658" s="9"/>
      <c r="N658" s="9"/>
      <c r="O658" s="9"/>
      <c r="P658" s="9"/>
      <c r="Q658" s="9"/>
      <c r="R658" s="9"/>
      <c r="S658" s="9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</row>
    <row r="659" spans="1:3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9"/>
      <c r="L659" s="9"/>
      <c r="M659" s="9"/>
      <c r="N659" s="9"/>
      <c r="O659" s="9"/>
      <c r="P659" s="9"/>
      <c r="Q659" s="9"/>
      <c r="R659" s="9"/>
      <c r="S659" s="9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</row>
    <row r="660" spans="1:39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9"/>
      <c r="L660" s="9"/>
      <c r="M660" s="9"/>
      <c r="N660" s="9"/>
      <c r="O660" s="9"/>
      <c r="P660" s="9"/>
      <c r="Q660" s="9"/>
      <c r="R660" s="9"/>
      <c r="S660" s="9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</row>
    <row r="661" spans="1:39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9"/>
      <c r="L661" s="9"/>
      <c r="M661" s="9"/>
      <c r="N661" s="9"/>
      <c r="O661" s="9"/>
      <c r="P661" s="9"/>
      <c r="Q661" s="9"/>
      <c r="R661" s="9"/>
      <c r="S661" s="9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</row>
    <row r="662" spans="1:39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9"/>
      <c r="L662" s="9"/>
      <c r="M662" s="9"/>
      <c r="N662" s="9"/>
      <c r="O662" s="9"/>
      <c r="P662" s="9"/>
      <c r="Q662" s="9"/>
      <c r="R662" s="9"/>
      <c r="S662" s="9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</row>
    <row r="663" spans="1:39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9"/>
      <c r="L663" s="9"/>
      <c r="M663" s="9"/>
      <c r="N663" s="9"/>
      <c r="O663" s="9"/>
      <c r="P663" s="9"/>
      <c r="Q663" s="9"/>
      <c r="R663" s="9"/>
      <c r="S663" s="9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</row>
    <row r="664" spans="1:39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9"/>
      <c r="L664" s="9"/>
      <c r="M664" s="9"/>
      <c r="N664" s="9"/>
      <c r="O664" s="9"/>
      <c r="P664" s="9"/>
      <c r="Q664" s="9"/>
      <c r="R664" s="9"/>
      <c r="S664" s="9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</row>
    <row r="665" spans="1:39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9"/>
      <c r="L665" s="9"/>
      <c r="M665" s="9"/>
      <c r="N665" s="9"/>
      <c r="O665" s="9"/>
      <c r="P665" s="9"/>
      <c r="Q665" s="9"/>
      <c r="R665" s="9"/>
      <c r="S665" s="9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</row>
    <row r="666" spans="1:39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9"/>
      <c r="L666" s="9"/>
      <c r="M666" s="9"/>
      <c r="N666" s="9"/>
      <c r="O666" s="9"/>
      <c r="P666" s="9"/>
      <c r="Q666" s="9"/>
      <c r="R666" s="9"/>
      <c r="S666" s="9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</row>
    <row r="667" spans="1:39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9"/>
      <c r="L667" s="9"/>
      <c r="M667" s="9"/>
      <c r="N667" s="9"/>
      <c r="O667" s="9"/>
      <c r="P667" s="9"/>
      <c r="Q667" s="9"/>
      <c r="R667" s="9"/>
      <c r="S667" s="9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</row>
    <row r="668" spans="1:39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9"/>
      <c r="L668" s="9"/>
      <c r="M668" s="9"/>
      <c r="N668" s="9"/>
      <c r="O668" s="9"/>
      <c r="P668" s="9"/>
      <c r="Q668" s="9"/>
      <c r="R668" s="9"/>
      <c r="S668" s="9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</row>
    <row r="669" spans="1:3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9"/>
      <c r="L669" s="9"/>
      <c r="M669" s="9"/>
      <c r="N669" s="9"/>
      <c r="O669" s="9"/>
      <c r="P669" s="9"/>
      <c r="Q669" s="9"/>
      <c r="R669" s="9"/>
      <c r="S669" s="9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</row>
    <row r="670" spans="1:39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9"/>
      <c r="L670" s="9"/>
      <c r="M670" s="9"/>
      <c r="N670" s="9"/>
      <c r="O670" s="9"/>
      <c r="P670" s="9"/>
      <c r="Q670" s="9"/>
      <c r="R670" s="9"/>
      <c r="S670" s="9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</row>
    <row r="671" spans="1:39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9"/>
      <c r="L671" s="9"/>
      <c r="M671" s="9"/>
      <c r="N671" s="9"/>
      <c r="O671" s="9"/>
      <c r="P671" s="9"/>
      <c r="Q671" s="9"/>
      <c r="R671" s="9"/>
      <c r="S671" s="9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</row>
    <row r="672" spans="1:39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9"/>
      <c r="L672" s="9"/>
      <c r="M672" s="9"/>
      <c r="N672" s="9"/>
      <c r="O672" s="9"/>
      <c r="P672" s="9"/>
      <c r="Q672" s="9"/>
      <c r="R672" s="9"/>
      <c r="S672" s="9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</row>
    <row r="673" spans="1:39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9"/>
      <c r="L673" s="9"/>
      <c r="M673" s="9"/>
      <c r="N673" s="9"/>
      <c r="O673" s="9"/>
      <c r="P673" s="9"/>
      <c r="Q673" s="9"/>
      <c r="R673" s="9"/>
      <c r="S673" s="9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</row>
    <row r="674" spans="1:39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9"/>
      <c r="L674" s="9"/>
      <c r="M674" s="9"/>
      <c r="N674" s="9"/>
      <c r="O674" s="9"/>
      <c r="P674" s="9"/>
      <c r="Q674" s="9"/>
      <c r="R674" s="9"/>
      <c r="S674" s="9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</row>
    <row r="675" spans="1:39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9"/>
      <c r="L675" s="9"/>
      <c r="M675" s="9"/>
      <c r="N675" s="9"/>
      <c r="O675" s="9"/>
      <c r="P675" s="9"/>
      <c r="Q675" s="9"/>
      <c r="R675" s="9"/>
      <c r="S675" s="9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</row>
    <row r="676" spans="1:39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9"/>
      <c r="L676" s="9"/>
      <c r="M676" s="9"/>
      <c r="N676" s="9"/>
      <c r="O676" s="9"/>
      <c r="P676" s="9"/>
      <c r="Q676" s="9"/>
      <c r="R676" s="9"/>
      <c r="S676" s="9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</row>
    <row r="677" spans="1:39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9"/>
      <c r="L677" s="9"/>
      <c r="M677" s="9"/>
      <c r="N677" s="9"/>
      <c r="O677" s="9"/>
      <c r="P677" s="9"/>
      <c r="Q677" s="9"/>
      <c r="R677" s="9"/>
      <c r="S677" s="9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</row>
    <row r="678" spans="1:39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9"/>
      <c r="L678" s="9"/>
      <c r="M678" s="9"/>
      <c r="N678" s="9"/>
      <c r="O678" s="9"/>
      <c r="P678" s="9"/>
      <c r="Q678" s="9"/>
      <c r="R678" s="9"/>
      <c r="S678" s="9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</row>
    <row r="679" spans="1:3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9"/>
      <c r="L679" s="9"/>
      <c r="M679" s="9"/>
      <c r="N679" s="9"/>
      <c r="O679" s="9"/>
      <c r="P679" s="9"/>
      <c r="Q679" s="9"/>
      <c r="R679" s="9"/>
      <c r="S679" s="9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</row>
    <row r="680" spans="1:39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9"/>
      <c r="L680" s="9"/>
      <c r="M680" s="9"/>
      <c r="N680" s="9"/>
      <c r="O680" s="9"/>
      <c r="P680" s="9"/>
      <c r="Q680" s="9"/>
      <c r="R680" s="9"/>
      <c r="S680" s="9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</row>
    <row r="681" spans="1:39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9"/>
      <c r="L681" s="9"/>
      <c r="M681" s="9"/>
      <c r="N681" s="9"/>
      <c r="O681" s="9"/>
      <c r="P681" s="9"/>
      <c r="Q681" s="9"/>
      <c r="R681" s="9"/>
      <c r="S681" s="9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</row>
    <row r="682" spans="1:39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9"/>
      <c r="L682" s="9"/>
      <c r="M682" s="9"/>
      <c r="N682" s="9"/>
      <c r="O682" s="9"/>
      <c r="P682" s="9"/>
      <c r="Q682" s="9"/>
      <c r="R682" s="9"/>
      <c r="S682" s="9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</row>
    <row r="683" spans="1:39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9"/>
      <c r="L683" s="9"/>
      <c r="M683" s="9"/>
      <c r="N683" s="9"/>
      <c r="O683" s="9"/>
      <c r="P683" s="9"/>
      <c r="Q683" s="9"/>
      <c r="R683" s="9"/>
      <c r="S683" s="9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</row>
    <row r="684" spans="1:39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9"/>
      <c r="L684" s="9"/>
      <c r="M684" s="9"/>
      <c r="N684" s="9"/>
      <c r="O684" s="9"/>
      <c r="P684" s="9"/>
      <c r="Q684" s="9"/>
      <c r="R684" s="9"/>
      <c r="S684" s="9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</row>
    <row r="685" spans="1:39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9"/>
      <c r="L685" s="9"/>
      <c r="M685" s="9"/>
      <c r="N685" s="9"/>
      <c r="O685" s="9"/>
      <c r="P685" s="9"/>
      <c r="Q685" s="9"/>
      <c r="R685" s="9"/>
      <c r="S685" s="9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</row>
    <row r="686" spans="1:39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9"/>
      <c r="L686" s="9"/>
      <c r="M686" s="9"/>
      <c r="N686" s="9"/>
      <c r="O686" s="9"/>
      <c r="P686" s="9"/>
      <c r="Q686" s="9"/>
      <c r="R686" s="9"/>
      <c r="S686" s="9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</row>
    <row r="687" spans="1:39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9"/>
      <c r="L687" s="9"/>
      <c r="M687" s="9"/>
      <c r="N687" s="9"/>
      <c r="O687" s="9"/>
      <c r="P687" s="9"/>
      <c r="Q687" s="9"/>
      <c r="R687" s="9"/>
      <c r="S687" s="9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</row>
    <row r="688" spans="1:39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9"/>
      <c r="L688" s="9"/>
      <c r="M688" s="9"/>
      <c r="N688" s="9"/>
      <c r="O688" s="9"/>
      <c r="P688" s="9"/>
      <c r="Q688" s="9"/>
      <c r="R688" s="9"/>
      <c r="S688" s="9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</row>
    <row r="689" spans="1:3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9"/>
      <c r="L689" s="9"/>
      <c r="M689" s="9"/>
      <c r="N689" s="9"/>
      <c r="O689" s="9"/>
      <c r="P689" s="9"/>
      <c r="Q689" s="9"/>
      <c r="R689" s="9"/>
      <c r="S689" s="9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</row>
    <row r="690" spans="1:39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9"/>
      <c r="L690" s="9"/>
      <c r="M690" s="9"/>
      <c r="N690" s="9"/>
      <c r="O690" s="9"/>
      <c r="P690" s="9"/>
      <c r="Q690" s="9"/>
      <c r="R690" s="9"/>
      <c r="S690" s="9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</row>
    <row r="691" spans="1:39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9"/>
      <c r="L691" s="9"/>
      <c r="M691" s="9"/>
      <c r="N691" s="9"/>
      <c r="O691" s="9"/>
      <c r="P691" s="9"/>
      <c r="Q691" s="9"/>
      <c r="R691" s="9"/>
      <c r="S691" s="9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</row>
    <row r="692" spans="1:39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9"/>
      <c r="L692" s="9"/>
      <c r="M692" s="9"/>
      <c r="N692" s="9"/>
      <c r="O692" s="9"/>
      <c r="P692" s="9"/>
      <c r="Q692" s="9"/>
      <c r="R692" s="9"/>
      <c r="S692" s="9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</row>
    <row r="693" spans="1:39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9"/>
      <c r="L693" s="9"/>
      <c r="M693" s="9"/>
      <c r="N693" s="9"/>
      <c r="O693" s="9"/>
      <c r="P693" s="9"/>
      <c r="Q693" s="9"/>
      <c r="R693" s="9"/>
      <c r="S693" s="9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</row>
    <row r="694" spans="1:39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9"/>
      <c r="L694" s="9"/>
      <c r="M694" s="9"/>
      <c r="N694" s="9"/>
      <c r="O694" s="9"/>
      <c r="P694" s="9"/>
      <c r="Q694" s="9"/>
      <c r="R694" s="9"/>
      <c r="S694" s="9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</row>
    <row r="695" spans="1:39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9"/>
      <c r="L695" s="9"/>
      <c r="M695" s="9"/>
      <c r="N695" s="9"/>
      <c r="O695" s="9"/>
      <c r="P695" s="9"/>
      <c r="Q695" s="9"/>
      <c r="R695" s="9"/>
      <c r="S695" s="9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</row>
    <row r="696" spans="1:39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9"/>
      <c r="L696" s="9"/>
      <c r="M696" s="9"/>
      <c r="N696" s="9"/>
      <c r="O696" s="9"/>
      <c r="P696" s="9"/>
      <c r="Q696" s="9"/>
      <c r="R696" s="9"/>
      <c r="S696" s="9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</row>
    <row r="697" spans="1:39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9"/>
      <c r="L697" s="9"/>
      <c r="M697" s="9"/>
      <c r="N697" s="9"/>
      <c r="O697" s="9"/>
      <c r="P697" s="9"/>
      <c r="Q697" s="9"/>
      <c r="R697" s="9"/>
      <c r="S697" s="9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</row>
    <row r="698" spans="1:39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9"/>
      <c r="L698" s="9"/>
      <c r="M698" s="9"/>
      <c r="N698" s="9"/>
      <c r="O698" s="9"/>
      <c r="P698" s="9"/>
      <c r="Q698" s="9"/>
      <c r="R698" s="9"/>
      <c r="S698" s="9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</row>
    <row r="699" spans="1:3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9"/>
      <c r="L699" s="9"/>
      <c r="M699" s="9"/>
      <c r="N699" s="9"/>
      <c r="O699" s="9"/>
      <c r="P699" s="9"/>
      <c r="Q699" s="9"/>
      <c r="R699" s="9"/>
      <c r="S699" s="9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</row>
    <row r="700" spans="1:39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9"/>
      <c r="L700" s="9"/>
      <c r="M700" s="9"/>
      <c r="N700" s="9"/>
      <c r="O700" s="9"/>
      <c r="P700" s="9"/>
      <c r="Q700" s="9"/>
      <c r="R700" s="9"/>
      <c r="S700" s="9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</row>
    <row r="701" spans="1:39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9"/>
      <c r="L701" s="9"/>
      <c r="M701" s="9"/>
      <c r="N701" s="9"/>
      <c r="O701" s="9"/>
      <c r="P701" s="9"/>
      <c r="Q701" s="9"/>
      <c r="R701" s="9"/>
      <c r="S701" s="9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</row>
    <row r="702" spans="1:39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9"/>
      <c r="L702" s="9"/>
      <c r="M702" s="9"/>
      <c r="N702" s="9"/>
      <c r="O702" s="9"/>
      <c r="P702" s="9"/>
      <c r="Q702" s="9"/>
      <c r="R702" s="9"/>
      <c r="S702" s="9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</row>
    <row r="703" spans="1:39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9"/>
      <c r="L703" s="9"/>
      <c r="M703" s="9"/>
      <c r="N703" s="9"/>
      <c r="O703" s="9"/>
      <c r="P703" s="9"/>
      <c r="Q703" s="9"/>
      <c r="R703" s="9"/>
      <c r="S703" s="9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</row>
    <row r="704" spans="1:39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9"/>
      <c r="L704" s="9"/>
      <c r="M704" s="9"/>
      <c r="N704" s="9"/>
      <c r="O704" s="9"/>
      <c r="P704" s="9"/>
      <c r="Q704" s="9"/>
      <c r="R704" s="9"/>
      <c r="S704" s="9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</row>
    <row r="705" spans="1:39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9"/>
      <c r="L705" s="9"/>
      <c r="M705" s="9"/>
      <c r="N705" s="9"/>
      <c r="O705" s="9"/>
      <c r="P705" s="9"/>
      <c r="Q705" s="9"/>
      <c r="R705" s="9"/>
      <c r="S705" s="9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</row>
    <row r="706" spans="1:39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9"/>
      <c r="L706" s="9"/>
      <c r="M706" s="9"/>
      <c r="N706" s="9"/>
      <c r="O706" s="9"/>
      <c r="P706" s="9"/>
      <c r="Q706" s="9"/>
      <c r="R706" s="9"/>
      <c r="S706" s="9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</row>
    <row r="707" spans="1:39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9"/>
      <c r="L707" s="9"/>
      <c r="M707" s="9"/>
      <c r="N707" s="9"/>
      <c r="O707" s="9"/>
      <c r="P707" s="9"/>
      <c r="Q707" s="9"/>
      <c r="R707" s="9"/>
      <c r="S707" s="9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</row>
    <row r="708" spans="1:39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9"/>
      <c r="L708" s="9"/>
      <c r="M708" s="9"/>
      <c r="N708" s="9"/>
      <c r="O708" s="9"/>
      <c r="P708" s="9"/>
      <c r="Q708" s="9"/>
      <c r="R708" s="9"/>
      <c r="S708" s="9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</row>
    <row r="709" spans="1:3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9"/>
      <c r="L709" s="9"/>
      <c r="M709" s="9"/>
      <c r="N709" s="9"/>
      <c r="O709" s="9"/>
      <c r="P709" s="9"/>
      <c r="Q709" s="9"/>
      <c r="R709" s="9"/>
      <c r="S709" s="9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</row>
    <row r="710" spans="1:39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9"/>
      <c r="L710" s="9"/>
      <c r="M710" s="9"/>
      <c r="N710" s="9"/>
      <c r="O710" s="9"/>
      <c r="P710" s="9"/>
      <c r="Q710" s="9"/>
      <c r="R710" s="9"/>
      <c r="S710" s="9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</row>
    <row r="711" spans="1:39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9"/>
      <c r="L711" s="9"/>
      <c r="M711" s="9"/>
      <c r="N711" s="9"/>
      <c r="O711" s="9"/>
      <c r="P711" s="9"/>
      <c r="Q711" s="9"/>
      <c r="R711" s="9"/>
      <c r="S711" s="9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</row>
    <row r="712" spans="1:39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9"/>
      <c r="L712" s="9"/>
      <c r="M712" s="9"/>
      <c r="N712" s="9"/>
      <c r="O712" s="9"/>
      <c r="P712" s="9"/>
      <c r="Q712" s="9"/>
      <c r="R712" s="9"/>
      <c r="S712" s="9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</row>
    <row r="713" spans="1:39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9"/>
      <c r="L713" s="9"/>
      <c r="M713" s="9"/>
      <c r="N713" s="9"/>
      <c r="O713" s="9"/>
      <c r="P713" s="9"/>
      <c r="Q713" s="9"/>
      <c r="R713" s="9"/>
      <c r="S713" s="9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</row>
    <row r="714" spans="1:39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9"/>
      <c r="L714" s="9"/>
      <c r="M714" s="9"/>
      <c r="N714" s="9"/>
      <c r="O714" s="9"/>
      <c r="P714" s="9"/>
      <c r="Q714" s="9"/>
      <c r="R714" s="9"/>
      <c r="S714" s="9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</row>
    <row r="715" spans="1:39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9"/>
      <c r="L715" s="9"/>
      <c r="M715" s="9"/>
      <c r="N715" s="9"/>
      <c r="O715" s="9"/>
      <c r="P715" s="9"/>
      <c r="Q715" s="9"/>
      <c r="R715" s="9"/>
      <c r="S715" s="9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</row>
    <row r="716" spans="1:39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9"/>
      <c r="L716" s="9"/>
      <c r="M716" s="9"/>
      <c r="N716" s="9"/>
      <c r="O716" s="9"/>
      <c r="P716" s="9"/>
      <c r="Q716" s="9"/>
      <c r="R716" s="9"/>
      <c r="S716" s="9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</row>
    <row r="717" spans="1:39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9"/>
      <c r="L717" s="9"/>
      <c r="M717" s="9"/>
      <c r="N717" s="9"/>
      <c r="O717" s="9"/>
      <c r="P717" s="9"/>
      <c r="Q717" s="9"/>
      <c r="R717" s="9"/>
      <c r="S717" s="9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</row>
    <row r="718" spans="1:39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9"/>
      <c r="L718" s="9"/>
      <c r="M718" s="9"/>
      <c r="N718" s="9"/>
      <c r="O718" s="9"/>
      <c r="P718" s="9"/>
      <c r="Q718" s="9"/>
      <c r="R718" s="9"/>
      <c r="S718" s="9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</row>
    <row r="719" spans="1:3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9"/>
      <c r="L719" s="9"/>
      <c r="M719" s="9"/>
      <c r="N719" s="9"/>
      <c r="O719" s="9"/>
      <c r="P719" s="9"/>
      <c r="Q719" s="9"/>
      <c r="R719" s="9"/>
      <c r="S719" s="9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</row>
    <row r="720" spans="1:39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9"/>
      <c r="L720" s="9"/>
      <c r="M720" s="9"/>
      <c r="N720" s="9"/>
      <c r="O720" s="9"/>
      <c r="P720" s="9"/>
      <c r="Q720" s="9"/>
      <c r="R720" s="9"/>
      <c r="S720" s="9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</row>
    <row r="721" spans="1:39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9"/>
      <c r="L721" s="9"/>
      <c r="M721" s="9"/>
      <c r="N721" s="9"/>
      <c r="O721" s="9"/>
      <c r="P721" s="9"/>
      <c r="Q721" s="9"/>
      <c r="R721" s="9"/>
      <c r="S721" s="9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</row>
    <row r="722" spans="1:39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9"/>
      <c r="L722" s="9"/>
      <c r="M722" s="9"/>
      <c r="N722" s="9"/>
      <c r="O722" s="9"/>
      <c r="P722" s="9"/>
      <c r="Q722" s="9"/>
      <c r="R722" s="9"/>
      <c r="S722" s="9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</row>
    <row r="723" spans="1:39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9"/>
      <c r="L723" s="9"/>
      <c r="M723" s="9"/>
      <c r="N723" s="9"/>
      <c r="O723" s="9"/>
      <c r="P723" s="9"/>
      <c r="Q723" s="9"/>
      <c r="R723" s="9"/>
      <c r="S723" s="9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</row>
    <row r="724" spans="1:39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9"/>
      <c r="L724" s="9"/>
      <c r="M724" s="9"/>
      <c r="N724" s="9"/>
      <c r="O724" s="9"/>
      <c r="P724" s="9"/>
      <c r="Q724" s="9"/>
      <c r="R724" s="9"/>
      <c r="S724" s="9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</row>
    <row r="725" spans="1:39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9"/>
      <c r="L725" s="9"/>
      <c r="M725" s="9"/>
      <c r="N725" s="9"/>
      <c r="O725" s="9"/>
      <c r="P725" s="9"/>
      <c r="Q725" s="9"/>
      <c r="R725" s="9"/>
      <c r="S725" s="9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</row>
    <row r="726" spans="1:39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9"/>
      <c r="L726" s="9"/>
      <c r="M726" s="9"/>
      <c r="N726" s="9"/>
      <c r="O726" s="9"/>
      <c r="P726" s="9"/>
      <c r="Q726" s="9"/>
      <c r="R726" s="9"/>
      <c r="S726" s="9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</row>
    <row r="727" spans="1:39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9"/>
      <c r="L727" s="9"/>
      <c r="M727" s="9"/>
      <c r="N727" s="9"/>
      <c r="O727" s="9"/>
      <c r="P727" s="9"/>
      <c r="Q727" s="9"/>
      <c r="R727" s="9"/>
      <c r="S727" s="9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</row>
    <row r="728" spans="1:39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9"/>
      <c r="L728" s="9"/>
      <c r="M728" s="9"/>
      <c r="N728" s="9"/>
      <c r="O728" s="9"/>
      <c r="P728" s="9"/>
      <c r="Q728" s="9"/>
      <c r="R728" s="9"/>
      <c r="S728" s="9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</row>
    <row r="729" spans="1:3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9"/>
      <c r="L729" s="9"/>
      <c r="M729" s="9"/>
      <c r="N729" s="9"/>
      <c r="O729" s="9"/>
      <c r="P729" s="9"/>
      <c r="Q729" s="9"/>
      <c r="R729" s="9"/>
      <c r="S729" s="9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</row>
    <row r="730" spans="1:39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9"/>
      <c r="L730" s="9"/>
      <c r="M730" s="9"/>
      <c r="N730" s="9"/>
      <c r="O730" s="9"/>
      <c r="P730" s="9"/>
      <c r="Q730" s="9"/>
      <c r="R730" s="9"/>
      <c r="S730" s="9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</row>
    <row r="731" spans="1:39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9"/>
      <c r="L731" s="9"/>
      <c r="M731" s="9"/>
      <c r="N731" s="9"/>
      <c r="O731" s="9"/>
      <c r="P731" s="9"/>
      <c r="Q731" s="9"/>
      <c r="R731" s="9"/>
      <c r="S731" s="9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</row>
    <row r="732" spans="1:39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9"/>
      <c r="L732" s="9"/>
      <c r="M732" s="9"/>
      <c r="N732" s="9"/>
      <c r="O732" s="9"/>
      <c r="P732" s="9"/>
      <c r="Q732" s="9"/>
      <c r="R732" s="9"/>
      <c r="S732" s="9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</row>
    <row r="733" spans="1:39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9"/>
      <c r="L733" s="9"/>
      <c r="M733" s="9"/>
      <c r="N733" s="9"/>
      <c r="O733" s="9"/>
      <c r="P733" s="9"/>
      <c r="Q733" s="9"/>
      <c r="R733" s="9"/>
      <c r="S733" s="9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</row>
    <row r="734" spans="1:39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9"/>
      <c r="L734" s="9"/>
      <c r="M734" s="9"/>
      <c r="N734" s="9"/>
      <c r="O734" s="9"/>
      <c r="P734" s="9"/>
      <c r="Q734" s="9"/>
      <c r="R734" s="9"/>
      <c r="S734" s="9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</row>
    <row r="735" spans="1:39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9"/>
      <c r="L735" s="9"/>
      <c r="M735" s="9"/>
      <c r="N735" s="9"/>
      <c r="O735" s="9"/>
      <c r="P735" s="9"/>
      <c r="Q735" s="9"/>
      <c r="R735" s="9"/>
      <c r="S735" s="9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</row>
    <row r="736" spans="1:39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9"/>
      <c r="L736" s="9"/>
      <c r="M736" s="9"/>
      <c r="N736" s="9"/>
      <c r="O736" s="9"/>
      <c r="P736" s="9"/>
      <c r="Q736" s="9"/>
      <c r="R736" s="9"/>
      <c r="S736" s="9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</row>
    <row r="737" spans="1:39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9"/>
      <c r="L737" s="9"/>
      <c r="M737" s="9"/>
      <c r="N737" s="9"/>
      <c r="O737" s="9"/>
      <c r="P737" s="9"/>
      <c r="Q737" s="9"/>
      <c r="R737" s="9"/>
      <c r="S737" s="9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</row>
    <row r="738" spans="1:39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9"/>
      <c r="L738" s="9"/>
      <c r="M738" s="9"/>
      <c r="N738" s="9"/>
      <c r="O738" s="9"/>
      <c r="P738" s="9"/>
      <c r="Q738" s="9"/>
      <c r="R738" s="9"/>
      <c r="S738" s="9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</row>
    <row r="739" spans="1: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9"/>
      <c r="L739" s="9"/>
      <c r="M739" s="9"/>
      <c r="N739" s="9"/>
      <c r="O739" s="9"/>
      <c r="P739" s="9"/>
      <c r="Q739" s="9"/>
      <c r="R739" s="9"/>
      <c r="S739" s="9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</row>
    <row r="740" spans="1:39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9"/>
      <c r="L740" s="9"/>
      <c r="M740" s="9"/>
      <c r="N740" s="9"/>
      <c r="O740" s="9"/>
      <c r="P740" s="9"/>
      <c r="Q740" s="9"/>
      <c r="R740" s="9"/>
      <c r="S740" s="9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</row>
    <row r="741" spans="1:39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9"/>
      <c r="L741" s="9"/>
      <c r="M741" s="9"/>
      <c r="N741" s="9"/>
      <c r="O741" s="9"/>
      <c r="P741" s="9"/>
      <c r="Q741" s="9"/>
      <c r="R741" s="9"/>
      <c r="S741" s="9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</row>
    <row r="742" spans="1:39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9"/>
      <c r="L742" s="9"/>
      <c r="M742" s="9"/>
      <c r="N742" s="9"/>
      <c r="O742" s="9"/>
      <c r="P742" s="9"/>
      <c r="Q742" s="9"/>
      <c r="R742" s="9"/>
      <c r="S742" s="9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</row>
    <row r="743" spans="1:39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9"/>
      <c r="L743" s="9"/>
      <c r="M743" s="9"/>
      <c r="N743" s="9"/>
      <c r="O743" s="9"/>
      <c r="P743" s="9"/>
      <c r="Q743" s="9"/>
      <c r="R743" s="9"/>
      <c r="S743" s="9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</row>
    <row r="744" spans="1:39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9"/>
      <c r="L744" s="9"/>
      <c r="M744" s="9"/>
      <c r="N744" s="9"/>
      <c r="O744" s="9"/>
      <c r="P744" s="9"/>
      <c r="Q744" s="9"/>
      <c r="R744" s="9"/>
      <c r="S744" s="9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</row>
    <row r="745" spans="1:39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9"/>
      <c r="L745" s="9"/>
      <c r="M745" s="9"/>
      <c r="N745" s="9"/>
      <c r="O745" s="9"/>
      <c r="P745" s="9"/>
      <c r="Q745" s="9"/>
      <c r="R745" s="9"/>
      <c r="S745" s="9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</row>
    <row r="746" spans="1:39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9"/>
      <c r="L746" s="9"/>
      <c r="M746" s="9"/>
      <c r="N746" s="9"/>
      <c r="O746" s="9"/>
      <c r="P746" s="9"/>
      <c r="Q746" s="9"/>
      <c r="R746" s="9"/>
      <c r="S746" s="9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</row>
    <row r="747" spans="1:39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9"/>
      <c r="L747" s="9"/>
      <c r="M747" s="9"/>
      <c r="N747" s="9"/>
      <c r="O747" s="9"/>
      <c r="P747" s="9"/>
      <c r="Q747" s="9"/>
      <c r="R747" s="9"/>
      <c r="S747" s="9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</row>
    <row r="748" spans="1:39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9"/>
      <c r="L748" s="9"/>
      <c r="M748" s="9"/>
      <c r="N748" s="9"/>
      <c r="O748" s="9"/>
      <c r="P748" s="9"/>
      <c r="Q748" s="9"/>
      <c r="R748" s="9"/>
      <c r="S748" s="9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</row>
    <row r="749" spans="1:3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9"/>
      <c r="L749" s="9"/>
      <c r="M749" s="9"/>
      <c r="N749" s="9"/>
      <c r="O749" s="9"/>
      <c r="P749" s="9"/>
      <c r="Q749" s="9"/>
      <c r="R749" s="9"/>
      <c r="S749" s="9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</row>
    <row r="750" spans="1:39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9"/>
      <c r="L750" s="9"/>
      <c r="M750" s="9"/>
      <c r="N750" s="9"/>
      <c r="O750" s="9"/>
      <c r="P750" s="9"/>
      <c r="Q750" s="9"/>
      <c r="R750" s="9"/>
      <c r="S750" s="9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</row>
    <row r="751" spans="1:39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9"/>
      <c r="L751" s="9"/>
      <c r="M751" s="9"/>
      <c r="N751" s="9"/>
      <c r="O751" s="9"/>
      <c r="P751" s="9"/>
      <c r="Q751" s="9"/>
      <c r="R751" s="9"/>
      <c r="S751" s="9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</row>
    <row r="752" spans="1:39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9"/>
      <c r="L752" s="9"/>
      <c r="M752" s="9"/>
      <c r="N752" s="9"/>
      <c r="O752" s="9"/>
      <c r="P752" s="9"/>
      <c r="Q752" s="9"/>
      <c r="R752" s="9"/>
      <c r="S752" s="9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</row>
    <row r="753" spans="1:39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9"/>
      <c r="L753" s="9"/>
      <c r="M753" s="9"/>
      <c r="N753" s="9"/>
      <c r="O753" s="9"/>
      <c r="P753" s="9"/>
      <c r="Q753" s="9"/>
      <c r="R753" s="9"/>
      <c r="S753" s="9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</row>
    <row r="754" spans="1:39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9"/>
      <c r="L754" s="9"/>
      <c r="M754" s="9"/>
      <c r="N754" s="9"/>
      <c r="O754" s="9"/>
      <c r="P754" s="9"/>
      <c r="Q754" s="9"/>
      <c r="R754" s="9"/>
      <c r="S754" s="9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</row>
    <row r="755" spans="1:39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9"/>
      <c r="L755" s="9"/>
      <c r="M755" s="9"/>
      <c r="N755" s="9"/>
      <c r="O755" s="9"/>
      <c r="P755" s="9"/>
      <c r="Q755" s="9"/>
      <c r="R755" s="9"/>
      <c r="S755" s="9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</row>
    <row r="756" spans="1:39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9"/>
      <c r="L756" s="9"/>
      <c r="M756" s="9"/>
      <c r="N756" s="9"/>
      <c r="O756" s="9"/>
      <c r="P756" s="9"/>
      <c r="Q756" s="9"/>
      <c r="R756" s="9"/>
      <c r="S756" s="9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</row>
    <row r="757" spans="1:39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9"/>
      <c r="L757" s="9"/>
      <c r="M757" s="9"/>
      <c r="N757" s="9"/>
      <c r="O757" s="9"/>
      <c r="P757" s="9"/>
      <c r="Q757" s="9"/>
      <c r="R757" s="9"/>
      <c r="S757" s="9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</row>
    <row r="758" spans="1:39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9"/>
      <c r="L758" s="9"/>
      <c r="M758" s="9"/>
      <c r="N758" s="9"/>
      <c r="O758" s="9"/>
      <c r="P758" s="9"/>
      <c r="Q758" s="9"/>
      <c r="R758" s="9"/>
      <c r="S758" s="9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</row>
    <row r="759" spans="1:3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9"/>
      <c r="L759" s="9"/>
      <c r="M759" s="9"/>
      <c r="N759" s="9"/>
      <c r="O759" s="9"/>
      <c r="P759" s="9"/>
      <c r="Q759" s="9"/>
      <c r="R759" s="9"/>
      <c r="S759" s="9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</row>
    <row r="760" spans="1:39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9"/>
      <c r="L760" s="9"/>
      <c r="M760" s="9"/>
      <c r="N760" s="9"/>
      <c r="O760" s="9"/>
      <c r="P760" s="9"/>
      <c r="Q760" s="9"/>
      <c r="R760" s="9"/>
      <c r="S760" s="9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</row>
    <row r="761" spans="1:39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9"/>
      <c r="L761" s="9"/>
      <c r="M761" s="9"/>
      <c r="N761" s="9"/>
      <c r="O761" s="9"/>
      <c r="P761" s="9"/>
      <c r="Q761" s="9"/>
      <c r="R761" s="9"/>
      <c r="S761" s="9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</row>
    <row r="762" spans="1:39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9"/>
      <c r="L762" s="9"/>
      <c r="M762" s="9"/>
      <c r="N762" s="9"/>
      <c r="O762" s="9"/>
      <c r="P762" s="9"/>
      <c r="Q762" s="9"/>
      <c r="R762" s="9"/>
      <c r="S762" s="9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</row>
    <row r="763" spans="1:39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9"/>
      <c r="L763" s="9"/>
      <c r="M763" s="9"/>
      <c r="N763" s="9"/>
      <c r="O763" s="9"/>
      <c r="P763" s="9"/>
      <c r="Q763" s="9"/>
      <c r="R763" s="9"/>
      <c r="S763" s="9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</row>
    <row r="764" spans="1:39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9"/>
      <c r="L764" s="9"/>
      <c r="M764" s="9"/>
      <c r="N764" s="9"/>
      <c r="O764" s="9"/>
      <c r="P764" s="9"/>
      <c r="Q764" s="9"/>
      <c r="R764" s="9"/>
      <c r="S764" s="9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</row>
    <row r="765" spans="1:39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9"/>
      <c r="L765" s="9"/>
      <c r="M765" s="9"/>
      <c r="N765" s="9"/>
      <c r="O765" s="9"/>
      <c r="P765" s="9"/>
      <c r="Q765" s="9"/>
      <c r="R765" s="9"/>
      <c r="S765" s="9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</row>
    <row r="766" spans="1:39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9"/>
      <c r="L766" s="9"/>
      <c r="M766" s="9"/>
      <c r="N766" s="9"/>
      <c r="O766" s="9"/>
      <c r="P766" s="9"/>
      <c r="Q766" s="9"/>
      <c r="R766" s="9"/>
      <c r="S766" s="9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</row>
    <row r="767" spans="1:39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9"/>
      <c r="L767" s="9"/>
      <c r="M767" s="9"/>
      <c r="N767" s="9"/>
      <c r="O767" s="9"/>
      <c r="P767" s="9"/>
      <c r="Q767" s="9"/>
      <c r="R767" s="9"/>
      <c r="S767" s="9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</row>
    <row r="768" spans="1:39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9"/>
      <c r="L768" s="9"/>
      <c r="M768" s="9"/>
      <c r="N768" s="9"/>
      <c r="O768" s="9"/>
      <c r="P768" s="9"/>
      <c r="Q768" s="9"/>
      <c r="R768" s="9"/>
      <c r="S768" s="9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</row>
    <row r="769" spans="1:3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9"/>
      <c r="L769" s="9"/>
      <c r="M769" s="9"/>
      <c r="N769" s="9"/>
      <c r="O769" s="9"/>
      <c r="P769" s="9"/>
      <c r="Q769" s="9"/>
      <c r="R769" s="9"/>
      <c r="S769" s="9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</row>
    <row r="770" spans="1:39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9"/>
      <c r="L770" s="9"/>
      <c r="M770" s="9"/>
      <c r="N770" s="9"/>
      <c r="O770" s="9"/>
      <c r="P770" s="9"/>
      <c r="Q770" s="9"/>
      <c r="R770" s="9"/>
      <c r="S770" s="9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</row>
    <row r="771" spans="1:39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9"/>
      <c r="L771" s="9"/>
      <c r="M771" s="9"/>
      <c r="N771" s="9"/>
      <c r="O771" s="9"/>
      <c r="P771" s="9"/>
      <c r="Q771" s="9"/>
      <c r="R771" s="9"/>
      <c r="S771" s="9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</row>
    <row r="772" spans="1:39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9"/>
      <c r="L772" s="9"/>
      <c r="M772" s="9"/>
      <c r="N772" s="9"/>
      <c r="O772" s="9"/>
      <c r="P772" s="9"/>
      <c r="Q772" s="9"/>
      <c r="R772" s="9"/>
      <c r="S772" s="9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</row>
    <row r="773" spans="1:39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9"/>
      <c r="L773" s="9"/>
      <c r="M773" s="9"/>
      <c r="N773" s="9"/>
      <c r="O773" s="9"/>
      <c r="P773" s="9"/>
      <c r="Q773" s="9"/>
      <c r="R773" s="9"/>
      <c r="S773" s="9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</row>
    <row r="774" spans="1:39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9"/>
      <c r="L774" s="9"/>
      <c r="M774" s="9"/>
      <c r="N774" s="9"/>
      <c r="O774" s="9"/>
      <c r="P774" s="9"/>
      <c r="Q774" s="9"/>
      <c r="R774" s="9"/>
      <c r="S774" s="9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</row>
    <row r="775" spans="1:39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9"/>
      <c r="L775" s="9"/>
      <c r="M775" s="9"/>
      <c r="N775" s="9"/>
      <c r="O775" s="9"/>
      <c r="P775" s="9"/>
      <c r="Q775" s="9"/>
      <c r="R775" s="9"/>
      <c r="S775" s="9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</row>
    <row r="776" spans="1:39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9"/>
      <c r="L776" s="9"/>
      <c r="M776" s="9"/>
      <c r="N776" s="9"/>
      <c r="O776" s="9"/>
      <c r="P776" s="9"/>
      <c r="Q776" s="9"/>
      <c r="R776" s="9"/>
      <c r="S776" s="9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</row>
    <row r="777" spans="1:39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9"/>
      <c r="L777" s="9"/>
      <c r="M777" s="9"/>
      <c r="N777" s="9"/>
      <c r="O777" s="9"/>
      <c r="P777" s="9"/>
      <c r="Q777" s="9"/>
      <c r="R777" s="9"/>
      <c r="S777" s="9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</row>
    <row r="778" spans="1:39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9"/>
      <c r="L778" s="9"/>
      <c r="M778" s="9"/>
      <c r="N778" s="9"/>
      <c r="O778" s="9"/>
      <c r="P778" s="9"/>
      <c r="Q778" s="9"/>
      <c r="R778" s="9"/>
      <c r="S778" s="9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</row>
    <row r="779" spans="1:3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9"/>
      <c r="L779" s="9"/>
      <c r="M779" s="9"/>
      <c r="N779" s="9"/>
      <c r="O779" s="9"/>
      <c r="P779" s="9"/>
      <c r="Q779" s="9"/>
      <c r="R779" s="9"/>
      <c r="S779" s="9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</row>
    <row r="780" spans="1:39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9"/>
      <c r="L780" s="9"/>
      <c r="M780" s="9"/>
      <c r="N780" s="9"/>
      <c r="O780" s="9"/>
      <c r="P780" s="9"/>
      <c r="Q780" s="9"/>
      <c r="R780" s="9"/>
      <c r="S780" s="9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</row>
    <row r="781" spans="1:39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9"/>
      <c r="L781" s="9"/>
      <c r="M781" s="9"/>
      <c r="N781" s="9"/>
      <c r="O781" s="9"/>
      <c r="P781" s="9"/>
      <c r="Q781" s="9"/>
      <c r="R781" s="9"/>
      <c r="S781" s="9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</row>
    <row r="782" spans="1:39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9"/>
      <c r="L782" s="9"/>
      <c r="M782" s="9"/>
      <c r="N782" s="9"/>
      <c r="O782" s="9"/>
      <c r="P782" s="9"/>
      <c r="Q782" s="9"/>
      <c r="R782" s="9"/>
      <c r="S782" s="9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</row>
    <row r="783" spans="1:39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9"/>
      <c r="L783" s="9"/>
      <c r="M783" s="9"/>
      <c r="N783" s="9"/>
      <c r="O783" s="9"/>
      <c r="P783" s="9"/>
      <c r="Q783" s="9"/>
      <c r="R783" s="9"/>
      <c r="S783" s="9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</row>
    <row r="784" spans="1:39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9"/>
      <c r="L784" s="9"/>
      <c r="M784" s="9"/>
      <c r="N784" s="9"/>
      <c r="O784" s="9"/>
      <c r="P784" s="9"/>
      <c r="Q784" s="9"/>
      <c r="R784" s="9"/>
      <c r="S784" s="9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</row>
    <row r="785" spans="1:39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9"/>
      <c r="L785" s="9"/>
      <c r="M785" s="9"/>
      <c r="N785" s="9"/>
      <c r="O785" s="9"/>
      <c r="P785" s="9"/>
      <c r="Q785" s="9"/>
      <c r="R785" s="9"/>
      <c r="S785" s="9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</row>
    <row r="786" spans="1:39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9"/>
      <c r="L786" s="9"/>
      <c r="M786" s="9"/>
      <c r="N786" s="9"/>
      <c r="O786" s="9"/>
      <c r="P786" s="9"/>
      <c r="Q786" s="9"/>
      <c r="R786" s="9"/>
      <c r="S786" s="9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</row>
    <row r="787" spans="1:39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9"/>
      <c r="L787" s="9"/>
      <c r="M787" s="9"/>
      <c r="N787" s="9"/>
      <c r="O787" s="9"/>
      <c r="P787" s="9"/>
      <c r="Q787" s="9"/>
      <c r="R787" s="9"/>
      <c r="S787" s="9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</row>
    <row r="788" spans="1:39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9"/>
      <c r="L788" s="9"/>
      <c r="M788" s="9"/>
      <c r="N788" s="9"/>
      <c r="O788" s="9"/>
      <c r="P788" s="9"/>
      <c r="Q788" s="9"/>
      <c r="R788" s="9"/>
      <c r="S788" s="9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</row>
    <row r="789" spans="1:3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9"/>
      <c r="L789" s="9"/>
      <c r="M789" s="9"/>
      <c r="N789" s="9"/>
      <c r="O789" s="9"/>
      <c r="P789" s="9"/>
      <c r="Q789" s="9"/>
      <c r="R789" s="9"/>
      <c r="S789" s="9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</row>
    <row r="790" spans="1:39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9"/>
      <c r="L790" s="9"/>
      <c r="M790" s="9"/>
      <c r="N790" s="9"/>
      <c r="O790" s="9"/>
      <c r="P790" s="9"/>
      <c r="Q790" s="9"/>
      <c r="R790" s="9"/>
      <c r="S790" s="9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</row>
    <row r="791" spans="1:39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9"/>
      <c r="L791" s="9"/>
      <c r="M791" s="9"/>
      <c r="N791" s="9"/>
      <c r="O791" s="9"/>
      <c r="P791" s="9"/>
      <c r="Q791" s="9"/>
      <c r="R791" s="9"/>
      <c r="S791" s="9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</row>
    <row r="792" spans="1:39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9"/>
      <c r="L792" s="9"/>
      <c r="M792" s="9"/>
      <c r="N792" s="9"/>
      <c r="O792" s="9"/>
      <c r="P792" s="9"/>
      <c r="Q792" s="9"/>
      <c r="R792" s="9"/>
      <c r="S792" s="9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</row>
    <row r="793" spans="1:39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9"/>
      <c r="L793" s="9"/>
      <c r="M793" s="9"/>
      <c r="N793" s="9"/>
      <c r="O793" s="9"/>
      <c r="P793" s="9"/>
      <c r="Q793" s="9"/>
      <c r="R793" s="9"/>
      <c r="S793" s="9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</row>
    <row r="794" spans="1:39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9"/>
      <c r="L794" s="9"/>
      <c r="M794" s="9"/>
      <c r="N794" s="9"/>
      <c r="O794" s="9"/>
      <c r="P794" s="9"/>
      <c r="Q794" s="9"/>
      <c r="R794" s="9"/>
      <c r="S794" s="9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</row>
    <row r="795" spans="1:39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9"/>
      <c r="L795" s="9"/>
      <c r="M795" s="9"/>
      <c r="N795" s="9"/>
      <c r="O795" s="9"/>
      <c r="P795" s="9"/>
      <c r="Q795" s="9"/>
      <c r="R795" s="9"/>
      <c r="S795" s="9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</row>
    <row r="796" spans="1:39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9"/>
      <c r="L796" s="9"/>
      <c r="M796" s="9"/>
      <c r="N796" s="9"/>
      <c r="O796" s="9"/>
      <c r="P796" s="9"/>
      <c r="Q796" s="9"/>
      <c r="R796" s="9"/>
      <c r="S796" s="9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</row>
    <row r="797" spans="1:39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9"/>
      <c r="L797" s="9"/>
      <c r="M797" s="9"/>
      <c r="N797" s="9"/>
      <c r="O797" s="9"/>
      <c r="P797" s="9"/>
      <c r="Q797" s="9"/>
      <c r="R797" s="9"/>
      <c r="S797" s="9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</row>
    <row r="798" spans="1:39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9"/>
      <c r="L798" s="9"/>
      <c r="M798" s="9"/>
      <c r="N798" s="9"/>
      <c r="O798" s="9"/>
      <c r="P798" s="9"/>
      <c r="Q798" s="9"/>
      <c r="R798" s="9"/>
      <c r="S798" s="9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</row>
    <row r="799" spans="1:3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9"/>
      <c r="L799" s="9"/>
      <c r="M799" s="9"/>
      <c r="N799" s="9"/>
      <c r="O799" s="9"/>
      <c r="P799" s="9"/>
      <c r="Q799" s="9"/>
      <c r="R799" s="9"/>
      <c r="S799" s="9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</row>
    <row r="800" spans="1:39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9"/>
      <c r="L800" s="9"/>
      <c r="M800" s="9"/>
      <c r="N800" s="9"/>
      <c r="O800" s="9"/>
      <c r="P800" s="9"/>
      <c r="Q800" s="9"/>
      <c r="R800" s="9"/>
      <c r="S800" s="9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</row>
    <row r="801" spans="1:39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9"/>
      <c r="L801" s="9"/>
      <c r="M801" s="9"/>
      <c r="N801" s="9"/>
      <c r="O801" s="9"/>
      <c r="P801" s="9"/>
      <c r="Q801" s="9"/>
      <c r="R801" s="9"/>
      <c r="S801" s="9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</row>
    <row r="802" spans="1:39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9"/>
      <c r="L802" s="9"/>
      <c r="M802" s="9"/>
      <c r="N802" s="9"/>
      <c r="O802" s="9"/>
      <c r="P802" s="9"/>
      <c r="Q802" s="9"/>
      <c r="R802" s="9"/>
      <c r="S802" s="9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</row>
    <row r="803" spans="1:39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9"/>
      <c r="L803" s="9"/>
      <c r="M803" s="9"/>
      <c r="N803" s="9"/>
      <c r="O803" s="9"/>
      <c r="P803" s="9"/>
      <c r="Q803" s="9"/>
      <c r="R803" s="9"/>
      <c r="S803" s="9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</row>
    <row r="804" spans="1:39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9"/>
      <c r="L804" s="9"/>
      <c r="M804" s="9"/>
      <c r="N804" s="9"/>
      <c r="O804" s="9"/>
      <c r="P804" s="9"/>
      <c r="Q804" s="9"/>
      <c r="R804" s="9"/>
      <c r="S804" s="9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</row>
    <row r="805" spans="1:39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9"/>
      <c r="L805" s="9"/>
      <c r="M805" s="9"/>
      <c r="N805" s="9"/>
      <c r="O805" s="9"/>
      <c r="P805" s="9"/>
      <c r="Q805" s="9"/>
      <c r="R805" s="9"/>
      <c r="S805" s="9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</row>
    <row r="806" spans="1:39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9"/>
      <c r="L806" s="9"/>
      <c r="M806" s="9"/>
      <c r="N806" s="9"/>
      <c r="O806" s="9"/>
      <c r="P806" s="9"/>
      <c r="Q806" s="9"/>
      <c r="R806" s="9"/>
      <c r="S806" s="9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</row>
    <row r="807" spans="1:39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9"/>
      <c r="L807" s="9"/>
      <c r="M807" s="9"/>
      <c r="N807" s="9"/>
      <c r="O807" s="9"/>
      <c r="P807" s="9"/>
      <c r="Q807" s="9"/>
      <c r="R807" s="9"/>
      <c r="S807" s="9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</row>
    <row r="808" spans="1:39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9"/>
      <c r="L808" s="9"/>
      <c r="M808" s="9"/>
      <c r="N808" s="9"/>
      <c r="O808" s="9"/>
      <c r="P808" s="9"/>
      <c r="Q808" s="9"/>
      <c r="R808" s="9"/>
      <c r="S808" s="9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</row>
    <row r="809" spans="1:3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9"/>
      <c r="L809" s="9"/>
      <c r="M809" s="9"/>
      <c r="N809" s="9"/>
      <c r="O809" s="9"/>
      <c r="P809" s="9"/>
      <c r="Q809" s="9"/>
      <c r="R809" s="9"/>
      <c r="S809" s="9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</row>
    <row r="810" spans="1:39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9"/>
      <c r="L810" s="9"/>
      <c r="M810" s="9"/>
      <c r="N810" s="9"/>
      <c r="O810" s="9"/>
      <c r="P810" s="9"/>
      <c r="Q810" s="9"/>
      <c r="R810" s="9"/>
      <c r="S810" s="9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</row>
    <row r="811" spans="1:39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9"/>
      <c r="L811" s="9"/>
      <c r="M811" s="9"/>
      <c r="N811" s="9"/>
      <c r="O811" s="9"/>
      <c r="P811" s="9"/>
      <c r="Q811" s="9"/>
      <c r="R811" s="9"/>
      <c r="S811" s="9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</row>
    <row r="812" spans="1:39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9"/>
      <c r="L812" s="9"/>
      <c r="M812" s="9"/>
      <c r="N812" s="9"/>
      <c r="O812" s="9"/>
      <c r="P812" s="9"/>
      <c r="Q812" s="9"/>
      <c r="R812" s="9"/>
      <c r="S812" s="9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</row>
    <row r="813" spans="1:39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9"/>
      <c r="L813" s="9"/>
      <c r="M813" s="9"/>
      <c r="N813" s="9"/>
      <c r="O813" s="9"/>
      <c r="P813" s="9"/>
      <c r="Q813" s="9"/>
      <c r="R813" s="9"/>
      <c r="S813" s="9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</row>
    <row r="814" spans="1:39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9"/>
      <c r="L814" s="9"/>
      <c r="M814" s="9"/>
      <c r="N814" s="9"/>
      <c r="O814" s="9"/>
      <c r="P814" s="9"/>
      <c r="Q814" s="9"/>
      <c r="R814" s="9"/>
      <c r="S814" s="9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</row>
    <row r="815" spans="1:39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9"/>
      <c r="L815" s="9"/>
      <c r="M815" s="9"/>
      <c r="N815" s="9"/>
      <c r="O815" s="9"/>
      <c r="P815" s="9"/>
      <c r="Q815" s="9"/>
      <c r="R815" s="9"/>
      <c r="S815" s="9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</row>
    <row r="816" spans="1:39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9"/>
      <c r="L816" s="9"/>
      <c r="M816" s="9"/>
      <c r="N816" s="9"/>
      <c r="O816" s="9"/>
      <c r="P816" s="9"/>
      <c r="Q816" s="9"/>
      <c r="R816" s="9"/>
      <c r="S816" s="9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</row>
    <row r="817" spans="1:39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9"/>
      <c r="L817" s="9"/>
      <c r="M817" s="9"/>
      <c r="N817" s="9"/>
      <c r="O817" s="9"/>
      <c r="P817" s="9"/>
      <c r="Q817" s="9"/>
      <c r="R817" s="9"/>
      <c r="S817" s="9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</row>
    <row r="818" spans="1:39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9"/>
      <c r="L818" s="9"/>
      <c r="M818" s="9"/>
      <c r="N818" s="9"/>
      <c r="O818" s="9"/>
      <c r="P818" s="9"/>
      <c r="Q818" s="9"/>
      <c r="R818" s="9"/>
      <c r="S818" s="9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</row>
    <row r="819" spans="1:3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9"/>
      <c r="L819" s="9"/>
      <c r="M819" s="9"/>
      <c r="N819" s="9"/>
      <c r="O819" s="9"/>
      <c r="P819" s="9"/>
      <c r="Q819" s="9"/>
      <c r="R819" s="9"/>
      <c r="S819" s="9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</row>
    <row r="820" spans="1:39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9"/>
      <c r="L820" s="9"/>
      <c r="M820" s="9"/>
      <c r="N820" s="9"/>
      <c r="O820" s="9"/>
      <c r="P820" s="9"/>
      <c r="Q820" s="9"/>
      <c r="R820" s="9"/>
      <c r="S820" s="9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</row>
    <row r="821" spans="1:39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9"/>
      <c r="L821" s="9"/>
      <c r="M821" s="9"/>
      <c r="N821" s="9"/>
      <c r="O821" s="9"/>
      <c r="P821" s="9"/>
      <c r="Q821" s="9"/>
      <c r="R821" s="9"/>
      <c r="S821" s="9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</row>
    <row r="822" spans="1:39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9"/>
      <c r="L822" s="9"/>
      <c r="M822" s="9"/>
      <c r="N822" s="9"/>
      <c r="O822" s="9"/>
      <c r="P822" s="9"/>
      <c r="Q822" s="9"/>
      <c r="R822" s="9"/>
      <c r="S822" s="9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</row>
    <row r="823" spans="1:39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9"/>
      <c r="L823" s="9"/>
      <c r="M823" s="9"/>
      <c r="N823" s="9"/>
      <c r="O823" s="9"/>
      <c r="P823" s="9"/>
      <c r="Q823" s="9"/>
      <c r="R823" s="9"/>
      <c r="S823" s="9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</row>
    <row r="824" spans="1:39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9"/>
      <c r="L824" s="9"/>
      <c r="M824" s="9"/>
      <c r="N824" s="9"/>
      <c r="O824" s="9"/>
      <c r="P824" s="9"/>
      <c r="Q824" s="9"/>
      <c r="R824" s="9"/>
      <c r="S824" s="9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</row>
    <row r="825" spans="1:39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9"/>
      <c r="L825" s="9"/>
      <c r="M825" s="9"/>
      <c r="N825" s="9"/>
      <c r="O825" s="9"/>
      <c r="P825" s="9"/>
      <c r="Q825" s="9"/>
      <c r="R825" s="9"/>
      <c r="S825" s="9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</row>
    <row r="826" spans="1:39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9"/>
      <c r="L826" s="9"/>
      <c r="M826" s="9"/>
      <c r="N826" s="9"/>
      <c r="O826" s="9"/>
      <c r="P826" s="9"/>
      <c r="Q826" s="9"/>
      <c r="R826" s="9"/>
      <c r="S826" s="9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</row>
    <row r="827" spans="1:39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9"/>
      <c r="L827" s="9"/>
      <c r="M827" s="9"/>
      <c r="N827" s="9"/>
      <c r="O827" s="9"/>
      <c r="P827" s="9"/>
      <c r="Q827" s="9"/>
      <c r="R827" s="9"/>
      <c r="S827" s="9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</row>
    <row r="828" spans="1:39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9"/>
      <c r="L828" s="9"/>
      <c r="M828" s="9"/>
      <c r="N828" s="9"/>
      <c r="O828" s="9"/>
      <c r="P828" s="9"/>
      <c r="Q828" s="9"/>
      <c r="R828" s="9"/>
      <c r="S828" s="9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</row>
    <row r="829" spans="1:3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9"/>
      <c r="L829" s="9"/>
      <c r="M829" s="9"/>
      <c r="N829" s="9"/>
      <c r="O829" s="9"/>
      <c r="P829" s="9"/>
      <c r="Q829" s="9"/>
      <c r="R829" s="9"/>
      <c r="S829" s="9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</row>
    <row r="830" spans="1:39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9"/>
      <c r="L830" s="9"/>
      <c r="M830" s="9"/>
      <c r="N830" s="9"/>
      <c r="O830" s="9"/>
      <c r="P830" s="9"/>
      <c r="Q830" s="9"/>
      <c r="R830" s="9"/>
      <c r="S830" s="9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</row>
    <row r="831" spans="1:39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9"/>
      <c r="L831" s="9"/>
      <c r="M831" s="9"/>
      <c r="N831" s="9"/>
      <c r="O831" s="9"/>
      <c r="P831" s="9"/>
      <c r="Q831" s="9"/>
      <c r="R831" s="9"/>
      <c r="S831" s="9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</row>
    <row r="832" spans="1:39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9"/>
      <c r="L832" s="9"/>
      <c r="M832" s="9"/>
      <c r="N832" s="9"/>
      <c r="O832" s="9"/>
      <c r="P832" s="9"/>
      <c r="Q832" s="9"/>
      <c r="R832" s="9"/>
      <c r="S832" s="9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</row>
    <row r="833" spans="1:39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9"/>
      <c r="L833" s="9"/>
      <c r="M833" s="9"/>
      <c r="N833" s="9"/>
      <c r="O833" s="9"/>
      <c r="P833" s="9"/>
      <c r="Q833" s="9"/>
      <c r="R833" s="9"/>
      <c r="S833" s="9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</row>
    <row r="834" spans="1:39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9"/>
      <c r="L834" s="9"/>
      <c r="M834" s="9"/>
      <c r="N834" s="9"/>
      <c r="O834" s="9"/>
      <c r="P834" s="9"/>
      <c r="Q834" s="9"/>
      <c r="R834" s="9"/>
      <c r="S834" s="9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</row>
    <row r="835" spans="1:39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9"/>
      <c r="L835" s="9"/>
      <c r="M835" s="9"/>
      <c r="N835" s="9"/>
      <c r="O835" s="9"/>
      <c r="P835" s="9"/>
      <c r="Q835" s="9"/>
      <c r="R835" s="9"/>
      <c r="S835" s="9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</row>
    <row r="836" spans="1:39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9"/>
      <c r="L836" s="9"/>
      <c r="M836" s="9"/>
      <c r="N836" s="9"/>
      <c r="O836" s="9"/>
      <c r="P836" s="9"/>
      <c r="Q836" s="9"/>
      <c r="R836" s="9"/>
      <c r="S836" s="9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</row>
    <row r="837" spans="1:39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9"/>
      <c r="L837" s="9"/>
      <c r="M837" s="9"/>
      <c r="N837" s="9"/>
      <c r="O837" s="9"/>
      <c r="P837" s="9"/>
      <c r="Q837" s="9"/>
      <c r="R837" s="9"/>
      <c r="S837" s="9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</row>
    <row r="838" spans="1:39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9"/>
      <c r="L838" s="9"/>
      <c r="M838" s="9"/>
      <c r="N838" s="9"/>
      <c r="O838" s="9"/>
      <c r="P838" s="9"/>
      <c r="Q838" s="9"/>
      <c r="R838" s="9"/>
      <c r="S838" s="9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</row>
    <row r="839" spans="1: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9"/>
      <c r="L839" s="9"/>
      <c r="M839" s="9"/>
      <c r="N839" s="9"/>
      <c r="O839" s="9"/>
      <c r="P839" s="9"/>
      <c r="Q839" s="9"/>
      <c r="R839" s="9"/>
      <c r="S839" s="9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</row>
    <row r="840" spans="1:39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9"/>
      <c r="L840" s="9"/>
      <c r="M840" s="9"/>
      <c r="N840" s="9"/>
      <c r="O840" s="9"/>
      <c r="P840" s="9"/>
      <c r="Q840" s="9"/>
      <c r="R840" s="9"/>
      <c r="S840" s="9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</row>
    <row r="841" spans="1:39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9"/>
      <c r="L841" s="9"/>
      <c r="M841" s="9"/>
      <c r="N841" s="9"/>
      <c r="O841" s="9"/>
      <c r="P841" s="9"/>
      <c r="Q841" s="9"/>
      <c r="R841" s="9"/>
      <c r="S841" s="9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</row>
    <row r="842" spans="1:39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9"/>
      <c r="L842" s="9"/>
      <c r="M842" s="9"/>
      <c r="N842" s="9"/>
      <c r="O842" s="9"/>
      <c r="P842" s="9"/>
      <c r="Q842" s="9"/>
      <c r="R842" s="9"/>
      <c r="S842" s="9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</row>
    <row r="843" spans="1:39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9"/>
      <c r="L843" s="9"/>
      <c r="M843" s="9"/>
      <c r="N843" s="9"/>
      <c r="O843" s="9"/>
      <c r="P843" s="9"/>
      <c r="Q843" s="9"/>
      <c r="R843" s="9"/>
      <c r="S843" s="9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</row>
    <row r="844" spans="1:39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9"/>
      <c r="L844" s="9"/>
      <c r="M844" s="9"/>
      <c r="N844" s="9"/>
      <c r="O844" s="9"/>
      <c r="P844" s="9"/>
      <c r="Q844" s="9"/>
      <c r="R844" s="9"/>
      <c r="S844" s="9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</row>
    <row r="845" spans="1:39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9"/>
      <c r="L845" s="9"/>
      <c r="M845" s="9"/>
      <c r="N845" s="9"/>
      <c r="O845" s="9"/>
      <c r="P845" s="9"/>
      <c r="Q845" s="9"/>
      <c r="R845" s="9"/>
      <c r="S845" s="9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</row>
    <row r="846" spans="1:39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9"/>
      <c r="L846" s="9"/>
      <c r="M846" s="9"/>
      <c r="N846" s="9"/>
      <c r="O846" s="9"/>
      <c r="P846" s="9"/>
      <c r="Q846" s="9"/>
      <c r="R846" s="9"/>
      <c r="S846" s="9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</row>
    <row r="847" spans="1:39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9"/>
      <c r="L847" s="9"/>
      <c r="M847" s="9"/>
      <c r="N847" s="9"/>
      <c r="O847" s="9"/>
      <c r="P847" s="9"/>
      <c r="Q847" s="9"/>
      <c r="R847" s="9"/>
      <c r="S847" s="9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</row>
    <row r="848" spans="1:39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9"/>
      <c r="L848" s="9"/>
      <c r="M848" s="9"/>
      <c r="N848" s="9"/>
      <c r="O848" s="9"/>
      <c r="P848" s="9"/>
      <c r="Q848" s="9"/>
      <c r="R848" s="9"/>
      <c r="S848" s="9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</row>
    <row r="849" spans="1:3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9"/>
      <c r="L849" s="9"/>
      <c r="M849" s="9"/>
      <c r="N849" s="9"/>
      <c r="O849" s="9"/>
      <c r="P849" s="9"/>
      <c r="Q849" s="9"/>
      <c r="R849" s="9"/>
      <c r="S849" s="9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</row>
    <row r="850" spans="1:39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9"/>
      <c r="L850" s="9"/>
      <c r="M850" s="9"/>
      <c r="N850" s="9"/>
      <c r="O850" s="9"/>
      <c r="P850" s="9"/>
      <c r="Q850" s="9"/>
      <c r="R850" s="9"/>
      <c r="S850" s="9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</row>
    <row r="851" spans="1:39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9"/>
      <c r="L851" s="9"/>
      <c r="M851" s="9"/>
      <c r="N851" s="9"/>
      <c r="O851" s="9"/>
      <c r="P851" s="9"/>
      <c r="Q851" s="9"/>
      <c r="R851" s="9"/>
      <c r="S851" s="9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</row>
    <row r="852" spans="1:39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9"/>
      <c r="L852" s="9"/>
      <c r="M852" s="9"/>
      <c r="N852" s="9"/>
      <c r="O852" s="9"/>
      <c r="P852" s="9"/>
      <c r="Q852" s="9"/>
      <c r="R852" s="9"/>
      <c r="S852" s="9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</row>
    <row r="853" spans="1:39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9"/>
      <c r="L853" s="9"/>
      <c r="M853" s="9"/>
      <c r="N853" s="9"/>
      <c r="O853" s="9"/>
      <c r="P853" s="9"/>
      <c r="Q853" s="9"/>
      <c r="R853" s="9"/>
      <c r="S853" s="9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</row>
    <row r="854" spans="1:39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9"/>
      <c r="L854" s="9"/>
      <c r="M854" s="9"/>
      <c r="N854" s="9"/>
      <c r="O854" s="9"/>
      <c r="P854" s="9"/>
      <c r="Q854" s="9"/>
      <c r="R854" s="9"/>
      <c r="S854" s="9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</row>
    <row r="855" spans="1:39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9"/>
      <c r="L855" s="9"/>
      <c r="M855" s="9"/>
      <c r="N855" s="9"/>
      <c r="O855" s="9"/>
      <c r="P855" s="9"/>
      <c r="Q855" s="9"/>
      <c r="R855" s="9"/>
      <c r="S855" s="9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</row>
    <row r="856" spans="1:39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9"/>
      <c r="L856" s="9"/>
      <c r="M856" s="9"/>
      <c r="N856" s="9"/>
      <c r="O856" s="9"/>
      <c r="P856" s="9"/>
      <c r="Q856" s="9"/>
      <c r="R856" s="9"/>
      <c r="S856" s="9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</row>
    <row r="857" spans="1:39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9"/>
      <c r="L857" s="9"/>
      <c r="M857" s="9"/>
      <c r="N857" s="9"/>
      <c r="O857" s="9"/>
      <c r="P857" s="9"/>
      <c r="Q857" s="9"/>
      <c r="R857" s="9"/>
      <c r="S857" s="9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</row>
    <row r="858" spans="1:39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9"/>
      <c r="L858" s="9"/>
      <c r="M858" s="9"/>
      <c r="N858" s="9"/>
      <c r="O858" s="9"/>
      <c r="P858" s="9"/>
      <c r="Q858" s="9"/>
      <c r="R858" s="9"/>
      <c r="S858" s="9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</row>
    <row r="859" spans="1:3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9"/>
      <c r="L859" s="9"/>
      <c r="M859" s="9"/>
      <c r="N859" s="9"/>
      <c r="O859" s="9"/>
      <c r="P859" s="9"/>
      <c r="Q859" s="9"/>
      <c r="R859" s="9"/>
      <c r="S859" s="9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</row>
    <row r="860" spans="1:39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9"/>
      <c r="L860" s="9"/>
      <c r="M860" s="9"/>
      <c r="N860" s="9"/>
      <c r="O860" s="9"/>
      <c r="P860" s="9"/>
      <c r="Q860" s="9"/>
      <c r="R860" s="9"/>
      <c r="S860" s="9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</row>
    <row r="861" spans="1:39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9"/>
      <c r="L861" s="9"/>
      <c r="M861" s="9"/>
      <c r="N861" s="9"/>
      <c r="O861" s="9"/>
      <c r="P861" s="9"/>
      <c r="Q861" s="9"/>
      <c r="R861" s="9"/>
      <c r="S861" s="9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</row>
    <row r="862" spans="1:39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9"/>
      <c r="L862" s="9"/>
      <c r="M862" s="9"/>
      <c r="N862" s="9"/>
      <c r="O862" s="9"/>
      <c r="P862" s="9"/>
      <c r="Q862" s="9"/>
      <c r="R862" s="9"/>
      <c r="S862" s="9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</row>
    <row r="863" spans="1:39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9"/>
      <c r="L863" s="9"/>
      <c r="M863" s="9"/>
      <c r="N863" s="9"/>
      <c r="O863" s="9"/>
      <c r="P863" s="9"/>
      <c r="Q863" s="9"/>
      <c r="R863" s="9"/>
      <c r="S863" s="9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</row>
    <row r="864" spans="1:39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9"/>
      <c r="L864" s="9"/>
      <c r="M864" s="9"/>
      <c r="N864" s="9"/>
      <c r="O864" s="9"/>
      <c r="P864" s="9"/>
      <c r="Q864" s="9"/>
      <c r="R864" s="9"/>
      <c r="S864" s="9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</row>
    <row r="865" spans="1:39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9"/>
      <c r="L865" s="9"/>
      <c r="M865" s="9"/>
      <c r="N865" s="9"/>
      <c r="O865" s="9"/>
      <c r="P865" s="9"/>
      <c r="Q865" s="9"/>
      <c r="R865" s="9"/>
      <c r="S865" s="9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</row>
    <row r="866" spans="1:39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9"/>
      <c r="L866" s="9"/>
      <c r="M866" s="9"/>
      <c r="N866" s="9"/>
      <c r="O866" s="9"/>
      <c r="P866" s="9"/>
      <c r="Q866" s="9"/>
      <c r="R866" s="9"/>
      <c r="S866" s="9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</row>
    <row r="867" spans="1:39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9"/>
      <c r="L867" s="9"/>
      <c r="M867" s="9"/>
      <c r="N867" s="9"/>
      <c r="O867" s="9"/>
      <c r="P867" s="9"/>
      <c r="Q867" s="9"/>
      <c r="R867" s="9"/>
      <c r="S867" s="9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</row>
    <row r="868" spans="1:39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9"/>
      <c r="L868" s="9"/>
      <c r="M868" s="9"/>
      <c r="N868" s="9"/>
      <c r="O868" s="9"/>
      <c r="P868" s="9"/>
      <c r="Q868" s="9"/>
      <c r="R868" s="9"/>
      <c r="S868" s="9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</row>
    <row r="869" spans="1:3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9"/>
      <c r="L869" s="9"/>
      <c r="M869" s="9"/>
      <c r="N869" s="9"/>
      <c r="O869" s="9"/>
      <c r="P869" s="9"/>
      <c r="Q869" s="9"/>
      <c r="R869" s="9"/>
      <c r="S869" s="9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</row>
    <row r="870" spans="1:39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9"/>
      <c r="L870" s="9"/>
      <c r="M870" s="9"/>
      <c r="N870" s="9"/>
      <c r="O870" s="9"/>
      <c r="P870" s="9"/>
      <c r="Q870" s="9"/>
      <c r="R870" s="9"/>
      <c r="S870" s="9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</row>
    <row r="871" spans="1:39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9"/>
      <c r="L871" s="9"/>
      <c r="M871" s="9"/>
      <c r="N871" s="9"/>
      <c r="O871" s="9"/>
      <c r="P871" s="9"/>
      <c r="Q871" s="9"/>
      <c r="R871" s="9"/>
      <c r="S871" s="9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</row>
    <row r="872" spans="1:39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9"/>
      <c r="L872" s="9"/>
      <c r="M872" s="9"/>
      <c r="N872" s="9"/>
      <c r="O872" s="9"/>
      <c r="P872" s="9"/>
      <c r="Q872" s="9"/>
      <c r="R872" s="9"/>
      <c r="S872" s="9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</row>
    <row r="873" spans="1:39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9"/>
      <c r="L873" s="9"/>
      <c r="M873" s="9"/>
      <c r="N873" s="9"/>
      <c r="O873" s="9"/>
      <c r="P873" s="9"/>
      <c r="Q873" s="9"/>
      <c r="R873" s="9"/>
      <c r="S873" s="9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</row>
    <row r="874" spans="1:39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9"/>
      <c r="L874" s="9"/>
      <c r="M874" s="9"/>
      <c r="N874" s="9"/>
      <c r="O874" s="9"/>
      <c r="P874" s="9"/>
      <c r="Q874" s="9"/>
      <c r="R874" s="9"/>
      <c r="S874" s="9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</row>
    <row r="875" spans="1:39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9"/>
      <c r="L875" s="9"/>
      <c r="M875" s="9"/>
      <c r="N875" s="9"/>
      <c r="O875" s="9"/>
      <c r="P875" s="9"/>
      <c r="Q875" s="9"/>
      <c r="R875" s="9"/>
      <c r="S875" s="9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</row>
    <row r="876" spans="1:39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9"/>
      <c r="L876" s="9"/>
      <c r="M876" s="9"/>
      <c r="N876" s="9"/>
      <c r="O876" s="9"/>
      <c r="P876" s="9"/>
      <c r="Q876" s="9"/>
      <c r="R876" s="9"/>
      <c r="S876" s="9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</row>
    <row r="877" spans="1:39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9"/>
      <c r="L877" s="9"/>
      <c r="M877" s="9"/>
      <c r="N877" s="9"/>
      <c r="O877" s="9"/>
      <c r="P877" s="9"/>
      <c r="Q877" s="9"/>
      <c r="R877" s="9"/>
      <c r="S877" s="9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</row>
    <row r="878" spans="1:39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9"/>
      <c r="L878" s="9"/>
      <c r="M878" s="9"/>
      <c r="N878" s="9"/>
      <c r="O878" s="9"/>
      <c r="P878" s="9"/>
      <c r="Q878" s="9"/>
      <c r="R878" s="9"/>
      <c r="S878" s="9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</row>
    <row r="879" spans="1:3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9"/>
      <c r="L879" s="9"/>
      <c r="M879" s="9"/>
      <c r="N879" s="9"/>
      <c r="O879" s="9"/>
      <c r="P879" s="9"/>
      <c r="Q879" s="9"/>
      <c r="R879" s="9"/>
      <c r="S879" s="9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</row>
    <row r="880" spans="1:39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9"/>
      <c r="L880" s="9"/>
      <c r="M880" s="9"/>
      <c r="N880" s="9"/>
      <c r="O880" s="9"/>
      <c r="P880" s="9"/>
      <c r="Q880" s="9"/>
      <c r="R880" s="9"/>
      <c r="S880" s="9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</row>
    <row r="881" spans="1:39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9"/>
      <c r="L881" s="9"/>
      <c r="M881" s="9"/>
      <c r="N881" s="9"/>
      <c r="O881" s="9"/>
      <c r="P881" s="9"/>
      <c r="Q881" s="9"/>
      <c r="R881" s="9"/>
      <c r="S881" s="9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</row>
    <row r="882" spans="1:39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9"/>
      <c r="L882" s="9"/>
      <c r="M882" s="9"/>
      <c r="N882" s="9"/>
      <c r="O882" s="9"/>
      <c r="P882" s="9"/>
      <c r="Q882" s="9"/>
      <c r="R882" s="9"/>
      <c r="S882" s="9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</row>
    <row r="883" spans="1:39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9"/>
      <c r="L883" s="9"/>
      <c r="M883" s="9"/>
      <c r="N883" s="9"/>
      <c r="O883" s="9"/>
      <c r="P883" s="9"/>
      <c r="Q883" s="9"/>
      <c r="R883" s="9"/>
      <c r="S883" s="9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</row>
    <row r="884" spans="1:39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9"/>
      <c r="L884" s="9"/>
      <c r="M884" s="9"/>
      <c r="N884" s="9"/>
      <c r="O884" s="9"/>
      <c r="P884" s="9"/>
      <c r="Q884" s="9"/>
      <c r="R884" s="9"/>
      <c r="S884" s="9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</row>
    <row r="885" spans="1:39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9"/>
      <c r="L885" s="9"/>
      <c r="M885" s="9"/>
      <c r="N885" s="9"/>
      <c r="O885" s="9"/>
      <c r="P885" s="9"/>
      <c r="Q885" s="9"/>
      <c r="R885" s="9"/>
      <c r="S885" s="9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</row>
    <row r="886" spans="1:39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9"/>
      <c r="L886" s="9"/>
      <c r="M886" s="9"/>
      <c r="N886" s="9"/>
      <c r="O886" s="9"/>
      <c r="P886" s="9"/>
      <c r="Q886" s="9"/>
      <c r="R886" s="9"/>
      <c r="S886" s="9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</row>
    <row r="887" spans="1:39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9"/>
      <c r="L887" s="9"/>
      <c r="M887" s="9"/>
      <c r="N887" s="9"/>
      <c r="O887" s="9"/>
      <c r="P887" s="9"/>
      <c r="Q887" s="9"/>
      <c r="R887" s="9"/>
      <c r="S887" s="9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</row>
    <row r="888" spans="1:39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9"/>
      <c r="L888" s="9"/>
      <c r="M888" s="9"/>
      <c r="N888" s="9"/>
      <c r="O888" s="9"/>
      <c r="P888" s="9"/>
      <c r="Q888" s="9"/>
      <c r="R888" s="9"/>
      <c r="S888" s="9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</row>
    <row r="889" spans="1:3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9"/>
      <c r="L889" s="9"/>
      <c r="M889" s="9"/>
      <c r="N889" s="9"/>
      <c r="O889" s="9"/>
      <c r="P889" s="9"/>
      <c r="Q889" s="9"/>
      <c r="R889" s="9"/>
      <c r="S889" s="9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</row>
    <row r="890" spans="1:39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9"/>
      <c r="L890" s="9"/>
      <c r="M890" s="9"/>
      <c r="N890" s="9"/>
      <c r="O890" s="9"/>
      <c r="P890" s="9"/>
      <c r="Q890" s="9"/>
      <c r="R890" s="9"/>
      <c r="S890" s="9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</row>
    <row r="891" spans="1:39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9"/>
      <c r="L891" s="9"/>
      <c r="M891" s="9"/>
      <c r="N891" s="9"/>
      <c r="O891" s="9"/>
      <c r="P891" s="9"/>
      <c r="Q891" s="9"/>
      <c r="R891" s="9"/>
      <c r="S891" s="9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</row>
    <row r="892" spans="1:39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9"/>
      <c r="L892" s="9"/>
      <c r="M892" s="9"/>
      <c r="N892" s="9"/>
      <c r="O892" s="9"/>
      <c r="P892" s="9"/>
      <c r="Q892" s="9"/>
      <c r="R892" s="9"/>
      <c r="S892" s="9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</row>
    <row r="893" spans="1:39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9"/>
      <c r="L893" s="9"/>
      <c r="M893" s="9"/>
      <c r="N893" s="9"/>
      <c r="O893" s="9"/>
      <c r="P893" s="9"/>
      <c r="Q893" s="9"/>
      <c r="R893" s="9"/>
      <c r="S893" s="9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</row>
    <row r="894" spans="1:39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9"/>
      <c r="L894" s="9"/>
      <c r="M894" s="9"/>
      <c r="N894" s="9"/>
      <c r="O894" s="9"/>
      <c r="P894" s="9"/>
      <c r="Q894" s="9"/>
      <c r="R894" s="9"/>
      <c r="S894" s="9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</row>
    <row r="895" spans="1:39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9"/>
      <c r="L895" s="9"/>
      <c r="M895" s="9"/>
      <c r="N895" s="9"/>
      <c r="O895" s="9"/>
      <c r="P895" s="9"/>
      <c r="Q895" s="9"/>
      <c r="R895" s="9"/>
      <c r="S895" s="9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</row>
    <row r="896" spans="1:39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9"/>
      <c r="L896" s="9"/>
      <c r="M896" s="9"/>
      <c r="N896" s="9"/>
      <c r="O896" s="9"/>
      <c r="P896" s="9"/>
      <c r="Q896" s="9"/>
      <c r="R896" s="9"/>
      <c r="S896" s="9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</row>
    <row r="897" spans="1:39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9"/>
      <c r="L897" s="9"/>
      <c r="M897" s="9"/>
      <c r="N897" s="9"/>
      <c r="O897" s="9"/>
      <c r="P897" s="9"/>
      <c r="Q897" s="9"/>
      <c r="R897" s="9"/>
      <c r="S897" s="9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</row>
    <row r="898" spans="1:39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9"/>
      <c r="L898" s="9"/>
      <c r="M898" s="9"/>
      <c r="N898" s="9"/>
      <c r="O898" s="9"/>
      <c r="P898" s="9"/>
      <c r="Q898" s="9"/>
      <c r="R898" s="9"/>
      <c r="S898" s="9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</row>
    <row r="899" spans="1:3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9"/>
      <c r="L899" s="9"/>
      <c r="M899" s="9"/>
      <c r="N899" s="9"/>
      <c r="O899" s="9"/>
      <c r="P899" s="9"/>
      <c r="Q899" s="9"/>
      <c r="R899" s="9"/>
      <c r="S899" s="9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</row>
    <row r="900" spans="1:39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9"/>
      <c r="L900" s="9"/>
      <c r="M900" s="9"/>
      <c r="N900" s="9"/>
      <c r="O900" s="9"/>
      <c r="P900" s="9"/>
      <c r="Q900" s="9"/>
      <c r="R900" s="9"/>
      <c r="S900" s="9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</row>
    <row r="901" spans="1:39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9"/>
      <c r="L901" s="9"/>
      <c r="M901" s="9"/>
      <c r="N901" s="9"/>
      <c r="O901" s="9"/>
      <c r="P901" s="9"/>
      <c r="Q901" s="9"/>
      <c r="R901" s="9"/>
      <c r="S901" s="9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</row>
    <row r="902" spans="1:39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9"/>
      <c r="L902" s="9"/>
      <c r="M902" s="9"/>
      <c r="N902" s="9"/>
      <c r="O902" s="9"/>
      <c r="P902" s="9"/>
      <c r="Q902" s="9"/>
      <c r="R902" s="9"/>
      <c r="S902" s="9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</row>
    <row r="903" spans="1:39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9"/>
      <c r="L903" s="9"/>
      <c r="M903" s="9"/>
      <c r="N903" s="9"/>
      <c r="O903" s="9"/>
      <c r="P903" s="9"/>
      <c r="Q903" s="9"/>
      <c r="R903" s="9"/>
      <c r="S903" s="9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</row>
    <row r="904" spans="1:39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9"/>
      <c r="L904" s="9"/>
      <c r="M904" s="9"/>
      <c r="N904" s="9"/>
      <c r="O904" s="9"/>
      <c r="P904" s="9"/>
      <c r="Q904" s="9"/>
      <c r="R904" s="9"/>
      <c r="S904" s="9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</row>
    <row r="905" spans="1:39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9"/>
      <c r="L905" s="9"/>
      <c r="M905" s="9"/>
      <c r="N905" s="9"/>
      <c r="O905" s="9"/>
      <c r="P905" s="9"/>
      <c r="Q905" s="9"/>
      <c r="R905" s="9"/>
      <c r="S905" s="9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</row>
    <row r="906" spans="1:39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9"/>
      <c r="L906" s="9"/>
      <c r="M906" s="9"/>
      <c r="N906" s="9"/>
      <c r="O906" s="9"/>
      <c r="P906" s="9"/>
      <c r="Q906" s="9"/>
      <c r="R906" s="9"/>
      <c r="S906" s="9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</row>
    <row r="907" spans="1:39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9"/>
      <c r="L907" s="9"/>
      <c r="M907" s="9"/>
      <c r="N907" s="9"/>
      <c r="O907" s="9"/>
      <c r="P907" s="9"/>
      <c r="Q907" s="9"/>
      <c r="R907" s="9"/>
      <c r="S907" s="9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</row>
    <row r="908" spans="1:39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9"/>
      <c r="L908" s="9"/>
      <c r="M908" s="9"/>
      <c r="N908" s="9"/>
      <c r="O908" s="9"/>
      <c r="P908" s="9"/>
      <c r="Q908" s="9"/>
      <c r="R908" s="9"/>
      <c r="S908" s="9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</row>
    <row r="909" spans="1:3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9"/>
      <c r="L909" s="9"/>
      <c r="M909" s="9"/>
      <c r="N909" s="9"/>
      <c r="O909" s="9"/>
      <c r="P909" s="9"/>
      <c r="Q909" s="9"/>
      <c r="R909" s="9"/>
      <c r="S909" s="9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</row>
    <row r="910" spans="1:39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9"/>
      <c r="L910" s="9"/>
      <c r="M910" s="9"/>
      <c r="N910" s="9"/>
      <c r="O910" s="9"/>
      <c r="P910" s="9"/>
      <c r="Q910" s="9"/>
      <c r="R910" s="9"/>
      <c r="S910" s="9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</row>
    <row r="911" spans="1:39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9"/>
      <c r="L911" s="9"/>
      <c r="M911" s="9"/>
      <c r="N911" s="9"/>
      <c r="O911" s="9"/>
      <c r="P911" s="9"/>
      <c r="Q911" s="9"/>
      <c r="R911" s="9"/>
      <c r="S911" s="9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</row>
    <row r="912" spans="1:39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9"/>
      <c r="L912" s="9"/>
      <c r="M912" s="9"/>
      <c r="N912" s="9"/>
      <c r="O912" s="9"/>
      <c r="P912" s="9"/>
      <c r="Q912" s="9"/>
      <c r="R912" s="9"/>
      <c r="S912" s="9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</row>
    <row r="913" spans="1:39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9"/>
      <c r="L913" s="9"/>
      <c r="M913" s="9"/>
      <c r="N913" s="9"/>
      <c r="O913" s="9"/>
      <c r="P913" s="9"/>
      <c r="Q913" s="9"/>
      <c r="R913" s="9"/>
      <c r="S913" s="9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</row>
    <row r="914" spans="1:39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9"/>
      <c r="L914" s="9"/>
      <c r="M914" s="9"/>
      <c r="N914" s="9"/>
      <c r="O914" s="9"/>
      <c r="P914" s="9"/>
      <c r="Q914" s="9"/>
      <c r="R914" s="9"/>
      <c r="S914" s="9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</row>
    <row r="915" spans="1:39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9"/>
      <c r="L915" s="9"/>
      <c r="M915" s="9"/>
      <c r="N915" s="9"/>
      <c r="O915" s="9"/>
      <c r="P915" s="9"/>
      <c r="Q915" s="9"/>
      <c r="R915" s="9"/>
      <c r="S915" s="9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</row>
    <row r="916" spans="1:39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9"/>
      <c r="L916" s="9"/>
      <c r="M916" s="9"/>
      <c r="N916" s="9"/>
      <c r="O916" s="9"/>
      <c r="P916" s="9"/>
      <c r="Q916" s="9"/>
      <c r="R916" s="9"/>
      <c r="S916" s="9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</row>
    <row r="917" spans="1:39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9"/>
      <c r="L917" s="9"/>
      <c r="M917" s="9"/>
      <c r="N917" s="9"/>
      <c r="O917" s="9"/>
      <c r="P917" s="9"/>
      <c r="Q917" s="9"/>
      <c r="R917" s="9"/>
      <c r="S917" s="9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</row>
    <row r="918" spans="1:39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9"/>
      <c r="L918" s="9"/>
      <c r="M918" s="9"/>
      <c r="N918" s="9"/>
      <c r="O918" s="9"/>
      <c r="P918" s="9"/>
      <c r="Q918" s="9"/>
      <c r="R918" s="9"/>
      <c r="S918" s="9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</row>
    <row r="919" spans="1:3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9"/>
      <c r="L919" s="9"/>
      <c r="M919" s="9"/>
      <c r="N919" s="9"/>
      <c r="O919" s="9"/>
      <c r="P919" s="9"/>
      <c r="Q919" s="9"/>
      <c r="R919" s="9"/>
      <c r="S919" s="9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</row>
    <row r="920" spans="1:39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9"/>
      <c r="L920" s="9"/>
      <c r="M920" s="9"/>
      <c r="N920" s="9"/>
      <c r="O920" s="9"/>
      <c r="P920" s="9"/>
      <c r="Q920" s="9"/>
      <c r="R920" s="9"/>
      <c r="S920" s="9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</row>
    <row r="921" spans="1:39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9"/>
      <c r="L921" s="9"/>
      <c r="M921" s="9"/>
      <c r="N921" s="9"/>
      <c r="O921" s="9"/>
      <c r="P921" s="9"/>
      <c r="Q921" s="9"/>
      <c r="R921" s="9"/>
      <c r="S921" s="9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</row>
    <row r="922" spans="1:39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9"/>
      <c r="L922" s="9"/>
      <c r="M922" s="9"/>
      <c r="N922" s="9"/>
      <c r="O922" s="9"/>
      <c r="P922" s="9"/>
      <c r="Q922" s="9"/>
      <c r="R922" s="9"/>
      <c r="S922" s="9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</row>
    <row r="923" spans="1:39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9"/>
      <c r="L923" s="9"/>
      <c r="M923" s="9"/>
      <c r="N923" s="9"/>
      <c r="O923" s="9"/>
      <c r="P923" s="9"/>
      <c r="Q923" s="9"/>
      <c r="R923" s="9"/>
      <c r="S923" s="9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</row>
    <row r="924" spans="1:39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9"/>
      <c r="L924" s="9"/>
      <c r="M924" s="9"/>
      <c r="N924" s="9"/>
      <c r="O924" s="9"/>
      <c r="P924" s="9"/>
      <c r="Q924" s="9"/>
      <c r="R924" s="9"/>
      <c r="S924" s="9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</row>
    <row r="925" spans="1:39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9"/>
      <c r="L925" s="9"/>
      <c r="M925" s="9"/>
      <c r="N925" s="9"/>
      <c r="O925" s="9"/>
      <c r="P925" s="9"/>
      <c r="Q925" s="9"/>
      <c r="R925" s="9"/>
      <c r="S925" s="9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</row>
    <row r="926" spans="1:39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9"/>
      <c r="L926" s="9"/>
      <c r="M926" s="9"/>
      <c r="N926" s="9"/>
      <c r="O926" s="9"/>
      <c r="P926" s="9"/>
      <c r="Q926" s="9"/>
      <c r="R926" s="9"/>
      <c r="S926" s="9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</row>
    <row r="927" spans="1:39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9"/>
      <c r="L927" s="9"/>
      <c r="M927" s="9"/>
      <c r="N927" s="9"/>
      <c r="O927" s="9"/>
      <c r="P927" s="9"/>
      <c r="Q927" s="9"/>
      <c r="R927" s="9"/>
      <c r="S927" s="9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</row>
    <row r="928" spans="1:39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9"/>
      <c r="L928" s="9"/>
      <c r="M928" s="9"/>
      <c r="N928" s="9"/>
      <c r="O928" s="9"/>
      <c r="P928" s="9"/>
      <c r="Q928" s="9"/>
      <c r="R928" s="9"/>
      <c r="S928" s="9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</row>
    <row r="929" spans="1:3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9"/>
      <c r="L929" s="9"/>
      <c r="M929" s="9"/>
      <c r="N929" s="9"/>
      <c r="O929" s="9"/>
      <c r="P929" s="9"/>
      <c r="Q929" s="9"/>
      <c r="R929" s="9"/>
      <c r="S929" s="9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</row>
    <row r="930" spans="1:39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9"/>
      <c r="L930" s="9"/>
      <c r="M930" s="9"/>
      <c r="N930" s="9"/>
      <c r="O930" s="9"/>
      <c r="P930" s="9"/>
      <c r="Q930" s="9"/>
      <c r="R930" s="9"/>
      <c r="S930" s="9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</row>
    <row r="931" spans="1:39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9"/>
      <c r="L931" s="9"/>
      <c r="M931" s="9"/>
      <c r="N931" s="9"/>
      <c r="O931" s="9"/>
      <c r="P931" s="9"/>
      <c r="Q931" s="9"/>
      <c r="R931" s="9"/>
      <c r="S931" s="9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</row>
    <row r="932" spans="1:39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9"/>
      <c r="L932" s="9"/>
      <c r="M932" s="9"/>
      <c r="N932" s="9"/>
      <c r="O932" s="9"/>
      <c r="P932" s="9"/>
      <c r="Q932" s="9"/>
      <c r="R932" s="9"/>
      <c r="S932" s="9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</row>
    <row r="933" spans="1:39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9"/>
      <c r="L933" s="9"/>
      <c r="M933" s="9"/>
      <c r="N933" s="9"/>
      <c r="O933" s="9"/>
      <c r="P933" s="9"/>
      <c r="Q933" s="9"/>
      <c r="R933" s="9"/>
      <c r="S933" s="9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</row>
    <row r="934" spans="1:39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9"/>
      <c r="L934" s="9"/>
      <c r="M934" s="9"/>
      <c r="N934" s="9"/>
      <c r="O934" s="9"/>
      <c r="P934" s="9"/>
      <c r="Q934" s="9"/>
      <c r="R934" s="9"/>
      <c r="S934" s="9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</row>
    <row r="935" spans="1:39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9"/>
      <c r="L935" s="9"/>
      <c r="M935" s="9"/>
      <c r="N935" s="9"/>
      <c r="O935" s="9"/>
      <c r="P935" s="9"/>
      <c r="Q935" s="9"/>
      <c r="R935" s="9"/>
      <c r="S935" s="9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</row>
    <row r="936" spans="1:39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9"/>
      <c r="L936" s="9"/>
      <c r="M936" s="9"/>
      <c r="N936" s="9"/>
      <c r="O936" s="9"/>
      <c r="P936" s="9"/>
      <c r="Q936" s="9"/>
      <c r="R936" s="9"/>
      <c r="S936" s="9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</row>
    <row r="937" spans="1:39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9"/>
      <c r="L937" s="9"/>
      <c r="M937" s="9"/>
      <c r="N937" s="9"/>
      <c r="O937" s="9"/>
      <c r="P937" s="9"/>
      <c r="Q937" s="9"/>
      <c r="R937" s="9"/>
      <c r="S937" s="9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</row>
    <row r="938" spans="1:39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9"/>
      <c r="L938" s="9"/>
      <c r="M938" s="9"/>
      <c r="N938" s="9"/>
      <c r="O938" s="9"/>
      <c r="P938" s="9"/>
      <c r="Q938" s="9"/>
      <c r="R938" s="9"/>
      <c r="S938" s="9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</row>
    <row r="939" spans="1: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9"/>
      <c r="L939" s="9"/>
      <c r="M939" s="9"/>
      <c r="N939" s="9"/>
      <c r="O939" s="9"/>
      <c r="P939" s="9"/>
      <c r="Q939" s="9"/>
      <c r="R939" s="9"/>
      <c r="S939" s="9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</row>
    <row r="940" spans="1:39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9"/>
      <c r="L940" s="9"/>
      <c r="M940" s="9"/>
      <c r="N940" s="9"/>
      <c r="O940" s="9"/>
      <c r="P940" s="9"/>
      <c r="Q940" s="9"/>
      <c r="R940" s="9"/>
      <c r="S940" s="9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</row>
    <row r="941" spans="1:39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9"/>
      <c r="L941" s="9"/>
      <c r="M941" s="9"/>
      <c r="N941" s="9"/>
      <c r="O941" s="9"/>
      <c r="P941" s="9"/>
      <c r="Q941" s="9"/>
      <c r="R941" s="9"/>
      <c r="S941" s="9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</row>
    <row r="942" spans="1:39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9"/>
      <c r="L942" s="9"/>
      <c r="M942" s="9"/>
      <c r="N942" s="9"/>
      <c r="O942" s="9"/>
      <c r="P942" s="9"/>
      <c r="Q942" s="9"/>
      <c r="R942" s="9"/>
      <c r="S942" s="9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</row>
    <row r="943" spans="1:39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9"/>
      <c r="L943" s="9"/>
      <c r="M943" s="9"/>
      <c r="N943" s="9"/>
      <c r="O943" s="9"/>
      <c r="P943" s="9"/>
      <c r="Q943" s="9"/>
      <c r="R943" s="9"/>
      <c r="S943" s="9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</row>
    <row r="944" spans="1:39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9"/>
      <c r="L944" s="9"/>
      <c r="M944" s="9"/>
      <c r="N944" s="9"/>
      <c r="O944" s="9"/>
      <c r="P944" s="9"/>
      <c r="Q944" s="9"/>
      <c r="R944" s="9"/>
      <c r="S944" s="9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</row>
    <row r="945" spans="1:39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9"/>
      <c r="L945" s="9"/>
      <c r="M945" s="9"/>
      <c r="N945" s="9"/>
      <c r="O945" s="9"/>
      <c r="P945" s="9"/>
      <c r="Q945" s="9"/>
      <c r="R945" s="9"/>
      <c r="S945" s="9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</row>
    <row r="946" spans="1:39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9"/>
      <c r="L946" s="9"/>
      <c r="M946" s="9"/>
      <c r="N946" s="9"/>
      <c r="O946" s="9"/>
      <c r="P946" s="9"/>
      <c r="Q946" s="9"/>
      <c r="R946" s="9"/>
      <c r="S946" s="9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</row>
    <row r="947" spans="1:39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9"/>
      <c r="L947" s="9"/>
      <c r="M947" s="9"/>
      <c r="N947" s="9"/>
      <c r="O947" s="9"/>
      <c r="P947" s="9"/>
      <c r="Q947" s="9"/>
      <c r="R947" s="9"/>
      <c r="S947" s="9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</row>
    <row r="948" spans="1:39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9"/>
      <c r="L948" s="9"/>
      <c r="M948" s="9"/>
      <c r="N948" s="9"/>
      <c r="O948" s="9"/>
      <c r="P948" s="9"/>
      <c r="Q948" s="9"/>
      <c r="R948" s="9"/>
      <c r="S948" s="9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</row>
    <row r="949" spans="1:3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9"/>
      <c r="L949" s="9"/>
      <c r="M949" s="9"/>
      <c r="N949" s="9"/>
      <c r="O949" s="9"/>
      <c r="P949" s="9"/>
      <c r="Q949" s="9"/>
      <c r="R949" s="9"/>
      <c r="S949" s="9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</row>
    <row r="950" spans="1:39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9"/>
      <c r="L950" s="9"/>
      <c r="M950" s="9"/>
      <c r="N950" s="9"/>
      <c r="O950" s="9"/>
      <c r="P950" s="9"/>
      <c r="Q950" s="9"/>
      <c r="R950" s="9"/>
      <c r="S950" s="9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</row>
    <row r="951" spans="1:39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9"/>
      <c r="L951" s="9"/>
      <c r="M951" s="9"/>
      <c r="N951" s="9"/>
      <c r="O951" s="9"/>
      <c r="P951" s="9"/>
      <c r="Q951" s="9"/>
      <c r="R951" s="9"/>
      <c r="S951" s="9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</row>
    <row r="952" spans="1:39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9"/>
      <c r="L952" s="9"/>
      <c r="M952" s="9"/>
      <c r="N952" s="9"/>
      <c r="O952" s="9"/>
      <c r="P952" s="9"/>
      <c r="Q952" s="9"/>
      <c r="R952" s="9"/>
      <c r="S952" s="9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</row>
    <row r="953" spans="1:39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9"/>
      <c r="L953" s="9"/>
      <c r="M953" s="9"/>
      <c r="N953" s="9"/>
      <c r="O953" s="9"/>
      <c r="P953" s="9"/>
      <c r="Q953" s="9"/>
      <c r="R953" s="9"/>
      <c r="S953" s="9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</row>
    <row r="954" spans="1:39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9"/>
      <c r="L954" s="9"/>
      <c r="M954" s="9"/>
      <c r="N954" s="9"/>
      <c r="O954" s="9"/>
      <c r="P954" s="9"/>
      <c r="Q954" s="9"/>
      <c r="R954" s="9"/>
      <c r="S954" s="9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</row>
    <row r="955" spans="1:39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9"/>
      <c r="L955" s="9"/>
      <c r="M955" s="9"/>
      <c r="N955" s="9"/>
      <c r="O955" s="9"/>
      <c r="P955" s="9"/>
      <c r="Q955" s="9"/>
      <c r="R955" s="9"/>
      <c r="S955" s="9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</row>
    <row r="956" spans="1:39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9"/>
      <c r="L956" s="9"/>
      <c r="M956" s="9"/>
      <c r="N956" s="9"/>
      <c r="O956" s="9"/>
      <c r="P956" s="9"/>
      <c r="Q956" s="9"/>
      <c r="R956" s="9"/>
      <c r="S956" s="9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</row>
    <row r="957" spans="1:39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9"/>
      <c r="L957" s="9"/>
      <c r="M957" s="9"/>
      <c r="N957" s="9"/>
      <c r="O957" s="9"/>
      <c r="P957" s="9"/>
      <c r="Q957" s="9"/>
      <c r="R957" s="9"/>
      <c r="S957" s="9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</row>
    <row r="958" spans="1:39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9"/>
      <c r="L958" s="9"/>
      <c r="M958" s="9"/>
      <c r="N958" s="9"/>
      <c r="O958" s="9"/>
      <c r="P958" s="9"/>
      <c r="Q958" s="9"/>
      <c r="R958" s="9"/>
      <c r="S958" s="9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</row>
    <row r="959" spans="1:3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9"/>
      <c r="L959" s="9"/>
      <c r="M959" s="9"/>
      <c r="N959" s="9"/>
      <c r="O959" s="9"/>
      <c r="P959" s="9"/>
      <c r="Q959" s="9"/>
      <c r="R959" s="9"/>
      <c r="S959" s="9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</row>
    <row r="960" spans="1:39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9"/>
      <c r="L960" s="9"/>
      <c r="M960" s="9"/>
      <c r="N960" s="9"/>
      <c r="O960" s="9"/>
      <c r="P960" s="9"/>
      <c r="Q960" s="9"/>
      <c r="R960" s="9"/>
      <c r="S960" s="9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</row>
  </sheetData>
  <mergeCells count="9">
    <mergeCell ref="B33:B34"/>
    <mergeCell ref="B38:B39"/>
    <mergeCell ref="C38:C39"/>
    <mergeCell ref="A1:P1"/>
    <mergeCell ref="B18:B20"/>
    <mergeCell ref="C18:C20"/>
    <mergeCell ref="B24:B26"/>
    <mergeCell ref="C24:C26"/>
    <mergeCell ref="C33:C34"/>
  </mergeCells>
  <printOptions horizontalCentered="1" gridLines="1"/>
  <pageMargins left="0.25" right="0.25" top="0.75" bottom="0.75" header="0" footer="0"/>
  <pageSetup scale="85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ParaPro</vt:lpstr>
      <vt:lpstr>School Secretary</vt:lpstr>
      <vt:lpstr>Custodian</vt:lpstr>
      <vt:lpstr>Mechanics</vt:lpstr>
      <vt:lpstr>Maintenance</vt:lpstr>
      <vt:lpstr>Nurses</vt:lpstr>
      <vt:lpstr>Supervisor of MaintTrans</vt:lpstr>
      <vt:lpstr>Technology Payscale </vt:lpstr>
      <vt:lpstr>Payroll ClerkBenefits &amp; Fin Mgr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</cp:lastModifiedBy>
  <dcterms:modified xsi:type="dcterms:W3CDTF">2022-09-29T20:04:05Z</dcterms:modified>
</cp:coreProperties>
</file>