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\\tsc-sresource\sresource\WRHSE\BID HISTORY\FY 26 BIDS\26-029 ERATE NETWORKING EQUIPMENT\"/>
    </mc:Choice>
  </mc:AlternateContent>
  <xr:revisionPtr revIDLastSave="0" documentId="8_{DFA45DD7-0550-4F4D-9454-80E8EA5BBD82}" xr6:coauthVersionLast="47" xr6:coauthVersionMax="47" xr10:uidLastSave="{00000000-0000-0000-0000-000000000000}"/>
  <bookViews>
    <workbookView xWindow="-28920" yWindow="75" windowWidth="29040" windowHeight="15720" tabRatio="500" activeTab="1" xr2:uid="{00000000-000D-0000-FFFF-FFFF00000000}"/>
  </bookViews>
  <sheets>
    <sheet name="EvalSummary" sheetId="1" r:id="rId1"/>
    <sheet name="pricingEval" sheetId="2" r:id="rId2"/>
    <sheet name="Proposal" sheetId="5" r:id="rId3"/>
    <sheet name="bizReq" sheetId="6" r:id="rId4"/>
    <sheet name="VendorEval" sheetId="9" r:id="rId5"/>
    <sheet name="lineItem" sheetId="8" r:id="rId6"/>
  </sheets>
  <definedNames>
    <definedName name="_xlnm._FilterDatabase" localSheetId="5" hidden="1">lineItem!$A$1:$L$111</definedName>
    <definedName name="_xlnm._FilterDatabase" localSheetId="1" hidden="1">pricingEval!$A$1:$R$7</definedName>
    <definedName name="_xlnm.Print_Area" localSheetId="1">pricingEval!$A$1:$R$7</definedName>
    <definedName name="_xlnm.Print_Area" localSheetId="2">Proposal!$A$2:$O$9</definedName>
    <definedName name="_xlnm.Print_Area" localSheetId="4">VendorEval!$A$1:$T$8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1" i="1" l="1"/>
  <c r="G10" i="1"/>
  <c r="G9" i="1"/>
  <c r="G8" i="1"/>
  <c r="E11" i="1"/>
  <c r="E10" i="1"/>
  <c r="E9" i="1"/>
  <c r="E8" i="1"/>
  <c r="D11" i="1"/>
  <c r="D10" i="1"/>
  <c r="D9" i="1"/>
  <c r="D8" i="1"/>
  <c r="C6" i="9"/>
  <c r="B6" i="9"/>
  <c r="A6" i="9"/>
  <c r="C5" i="9"/>
  <c r="B5" i="9"/>
  <c r="A5" i="9"/>
  <c r="C4" i="9"/>
  <c r="B4" i="9"/>
  <c r="A4" i="9"/>
  <c r="C3" i="9"/>
  <c r="B3" i="9"/>
  <c r="A3" i="9"/>
  <c r="C2" i="9"/>
  <c r="B2" i="9"/>
  <c r="A2" i="9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66" i="8"/>
  <c r="I64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5" i="8"/>
  <c r="I63" i="8"/>
  <c r="I62" i="8"/>
  <c r="I61" i="8"/>
  <c r="I60" i="8"/>
  <c r="I59" i="8"/>
  <c r="I58" i="8"/>
  <c r="I57" i="8"/>
  <c r="I56" i="8"/>
  <c r="I55" i="8"/>
  <c r="I54" i="8"/>
  <c r="I53" i="8"/>
  <c r="I52" i="8"/>
  <c r="I32" i="8"/>
  <c r="N7" i="5" l="1"/>
  <c r="N6" i="5"/>
  <c r="N5" i="5"/>
  <c r="N4" i="5"/>
  <c r="N3" i="5"/>
  <c r="E6" i="9"/>
  <c r="D6" i="9"/>
  <c r="E5" i="9"/>
  <c r="D5" i="9"/>
  <c r="E4" i="9"/>
  <c r="D4" i="9"/>
  <c r="E3" i="9"/>
  <c r="D3" i="9"/>
  <c r="E2" i="9"/>
  <c r="D2" i="9"/>
  <c r="N6" i="9"/>
  <c r="P6" i="9" s="1" a="1"/>
  <c r="P6" i="9" s="1"/>
  <c r="K6" i="9"/>
  <c r="M6" i="9" s="1" a="1"/>
  <c r="M6" i="9" s="1"/>
  <c r="N5" i="9"/>
  <c r="P5" i="9" s="1" a="1"/>
  <c r="P5" i="9" s="1"/>
  <c r="K5" i="9"/>
  <c r="M5" i="9" s="1" a="1"/>
  <c r="M5" i="9" s="1"/>
  <c r="N4" i="9"/>
  <c r="P4" i="9" s="1" a="1"/>
  <c r="P4" i="9" s="1"/>
  <c r="K4" i="9"/>
  <c r="M4" i="9" s="1" a="1"/>
  <c r="M4" i="9" s="1"/>
  <c r="N3" i="9"/>
  <c r="P3" i="9" s="1" a="1"/>
  <c r="P3" i="9" s="1"/>
  <c r="K3" i="9"/>
  <c r="M3" i="9" s="1" a="1"/>
  <c r="M3" i="9" s="1"/>
  <c r="N2" i="9"/>
  <c r="P2" i="9" s="1" a="1"/>
  <c r="P2" i="9" s="1"/>
  <c r="K2" i="9"/>
  <c r="M2" i="9" s="1" a="1"/>
  <c r="M2" i="9" s="1"/>
  <c r="O6" i="5" l="1"/>
  <c r="O5" i="5"/>
  <c r="O3" i="5"/>
  <c r="O4" i="5"/>
  <c r="O7" i="5"/>
  <c r="R2" i="9"/>
  <c r="R3" i="9"/>
  <c r="R4" i="9"/>
  <c r="R6" i="9"/>
  <c r="R5" i="9"/>
  <c r="S3" i="9" l="1"/>
  <c r="S2" i="9"/>
  <c r="G7" i="1" s="1"/>
  <c r="S5" i="9"/>
  <c r="S4" i="9"/>
  <c r="B9" i="1" l="1"/>
  <c r="B8" i="1"/>
  <c r="B7" i="1"/>
  <c r="E8" i="6"/>
  <c r="D8" i="6"/>
  <c r="I8" i="6"/>
  <c r="C8" i="6"/>
  <c r="B8" i="6"/>
  <c r="A8" i="6"/>
  <c r="E7" i="5"/>
  <c r="D7" i="5"/>
  <c r="C7" i="5"/>
  <c r="B7" i="5"/>
  <c r="A7" i="5"/>
  <c r="B11" i="1" l="1"/>
  <c r="E7" i="2"/>
  <c r="D7" i="2"/>
  <c r="M7" i="2"/>
  <c r="N7" i="2" s="1"/>
  <c r="C7" i="2"/>
  <c r="B7" i="2"/>
  <c r="A7" i="2"/>
  <c r="E7" i="6" l="1"/>
  <c r="D7" i="6"/>
  <c r="E6" i="6"/>
  <c r="D6" i="6"/>
  <c r="E5" i="6"/>
  <c r="D5" i="6"/>
  <c r="I7" i="6"/>
  <c r="C7" i="6"/>
  <c r="B7" i="6"/>
  <c r="A7" i="6"/>
  <c r="E4" i="6"/>
  <c r="D4" i="6"/>
  <c r="E6" i="5"/>
  <c r="D6" i="5"/>
  <c r="E5" i="5"/>
  <c r="D5" i="5"/>
  <c r="E4" i="5"/>
  <c r="D4" i="5"/>
  <c r="E3" i="5"/>
  <c r="D3" i="5"/>
  <c r="C6" i="5"/>
  <c r="B6" i="5"/>
  <c r="A6" i="5"/>
  <c r="E6" i="2"/>
  <c r="D6" i="2"/>
  <c r="E5" i="2"/>
  <c r="D5" i="2"/>
  <c r="E4" i="2"/>
  <c r="D4" i="2"/>
  <c r="E3" i="2"/>
  <c r="D3" i="2"/>
  <c r="M6" i="2"/>
  <c r="N6" i="2" s="1"/>
  <c r="C6" i="2"/>
  <c r="B6" i="2"/>
  <c r="A6" i="2"/>
  <c r="B10" i="1"/>
  <c r="I2" i="8"/>
  <c r="I112" i="8" l="1"/>
  <c r="B6" i="6"/>
  <c r="A6" i="6"/>
  <c r="B5" i="6"/>
  <c r="A5" i="6"/>
  <c r="I6" i="6"/>
  <c r="C6" i="6"/>
  <c r="I5" i="6"/>
  <c r="C5" i="6"/>
  <c r="B4" i="6"/>
  <c r="A4" i="6"/>
  <c r="B5" i="5"/>
  <c r="A5" i="5"/>
  <c r="B4" i="5"/>
  <c r="A4" i="5"/>
  <c r="B3" i="5"/>
  <c r="A3" i="5"/>
  <c r="B5" i="2"/>
  <c r="A5" i="2"/>
  <c r="B4" i="2"/>
  <c r="A4" i="2"/>
  <c r="B3" i="2"/>
  <c r="A3" i="2"/>
  <c r="C5" i="5"/>
  <c r="C4" i="5"/>
  <c r="M5" i="2"/>
  <c r="N5" i="2" s="1"/>
  <c r="C5" i="2"/>
  <c r="M4" i="2"/>
  <c r="N4" i="2" s="1"/>
  <c r="C4" i="2"/>
  <c r="C4" i="6"/>
  <c r="C3" i="5"/>
  <c r="C3" i="2"/>
  <c r="I4" i="6" l="1"/>
  <c r="M3" i="2"/>
  <c r="N3" i="2" s="1"/>
  <c r="J4" i="6" l="1"/>
  <c r="J8" i="6"/>
  <c r="F11" i="1" s="1"/>
  <c r="J7" i="6"/>
  <c r="F10" i="1" s="1"/>
  <c r="J5" i="6"/>
  <c r="F8" i="1" s="1"/>
  <c r="J6" i="6"/>
  <c r="F9" i="1" s="1"/>
  <c r="O7" i="2"/>
  <c r="O3" i="2"/>
  <c r="D7" i="1" s="1"/>
  <c r="O6" i="2"/>
  <c r="O5" i="2"/>
  <c r="O4" i="2"/>
  <c r="E7" i="1"/>
  <c r="H11" i="1" l="1"/>
  <c r="H9" i="1"/>
  <c r="H8" i="1"/>
  <c r="F7" i="1"/>
  <c r="H7" i="1" s="1"/>
  <c r="H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<sst xmlns="http://schemas.openxmlformats.org/spreadsheetml/2006/main" count="673" uniqueCount="135">
  <si>
    <t>Vendor</t>
  </si>
  <si>
    <t>Submission Dt</t>
  </si>
  <si>
    <t>BEN</t>
  </si>
  <si>
    <t>BENName</t>
  </si>
  <si>
    <t>470 ID</t>
  </si>
  <si>
    <t>SPIN</t>
  </si>
  <si>
    <t>svcProvider</t>
  </si>
  <si>
    <t>cost score</t>
  </si>
  <si>
    <t>notes</t>
  </si>
  <si>
    <t>unauth comms penalty</t>
  </si>
  <si>
    <t>subtotal</t>
  </si>
  <si>
    <t>svcPrvdr</t>
  </si>
  <si>
    <t>SvcType</t>
  </si>
  <si>
    <t>Committed Amount</t>
  </si>
  <si>
    <t>Total Authorized Disbursement</t>
  </si>
  <si>
    <t>progFnds</t>
  </si>
  <si>
    <t>utilRate</t>
  </si>
  <si>
    <t>progFndsWeight</t>
  </si>
  <si>
    <t>progFndsScore</t>
  </si>
  <si>
    <t>utilWeight</t>
  </si>
  <si>
    <t>utilScore</t>
  </si>
  <si>
    <t>Erate pts</t>
  </si>
  <si>
    <t>SvcProvider</t>
  </si>
  <si>
    <t>req weights:</t>
  </si>
  <si>
    <t>conforming response</t>
  </si>
  <si>
    <t>Total Eval score</t>
  </si>
  <si>
    <t>contract duration</t>
  </si>
  <si>
    <t>est tax &amp; fees</t>
  </si>
  <si>
    <t>eligible cost score</t>
  </si>
  <si>
    <t>total cost score</t>
  </si>
  <si>
    <t>Proposal Score</t>
  </si>
  <si>
    <t>pricing increments</t>
  </si>
  <si>
    <t>cost of
change</t>
  </si>
  <si>
    <t>Proposal Points</t>
  </si>
  <si>
    <t>district eval</t>
  </si>
  <si>
    <t>BizReq</t>
  </si>
  <si>
    <t>DistrictScore</t>
  </si>
  <si>
    <t>biz req score</t>
  </si>
  <si>
    <t>Vendor Score</t>
  </si>
  <si>
    <t>Vendor score</t>
  </si>
  <si>
    <t>Subscore</t>
  </si>
  <si>
    <t>C2</t>
  </si>
  <si>
    <t>equipment</t>
  </si>
  <si>
    <t>price</t>
  </si>
  <si>
    <t>eligible price</t>
  </si>
  <si>
    <t>non-eligible price</t>
  </si>
  <si>
    <t>ttl non-recurring</t>
  </si>
  <si>
    <t>net contract price</t>
  </si>
  <si>
    <t>Price Score</t>
  </si>
  <si>
    <t>Note: 2020-2024 E-Rate funding (C2 svcs - all entity types)</t>
  </si>
  <si>
    <t>470ID</t>
  </si>
  <si>
    <r>
      <t xml:space="preserve">Funding Request
</t>
    </r>
    <r>
      <rPr>
        <i/>
        <sz val="8"/>
        <color theme="1"/>
        <rFont val="Calibri"/>
        <family val="2"/>
        <scheme val="minor"/>
      </rPr>
      <t>(2020-2024)</t>
    </r>
  </si>
  <si>
    <t>470:</t>
  </si>
  <si>
    <t>Entity:</t>
  </si>
  <si>
    <t>BEN:</t>
  </si>
  <si>
    <t>vendor</t>
  </si>
  <si>
    <t>quote#</t>
  </si>
  <si>
    <t>make</t>
  </si>
  <si>
    <t>model*</t>
  </si>
  <si>
    <t>**ea</t>
  </si>
  <si>
    <t>qty*</t>
  </si>
  <si>
    <t>extend</t>
  </si>
  <si>
    <t>eRate
Eligibility</t>
  </si>
  <si>
    <t>note</t>
  </si>
  <si>
    <t>view</t>
  </si>
  <si>
    <t>spec</t>
  </si>
  <si>
    <t>item/line</t>
  </si>
  <si>
    <t>productType</t>
  </si>
  <si>
    <t>AiOS</t>
  </si>
  <si>
    <t>alt</t>
  </si>
  <si>
    <t>license</t>
  </si>
  <si>
    <t>Houston CSD</t>
  </si>
  <si>
    <t>Lockstep</t>
  </si>
  <si>
    <t>Invsion</t>
  </si>
  <si>
    <t>svc exp</t>
  </si>
  <si>
    <t>support</t>
  </si>
  <si>
    <t>hpe</t>
  </si>
  <si>
    <t>switch</t>
  </si>
  <si>
    <t>rack</t>
  </si>
  <si>
    <t>Blueally</t>
  </si>
  <si>
    <t>Leighton &amp; Alex</t>
  </si>
  <si>
    <t>45 pts</t>
  </si>
  <si>
    <t>35 pts</t>
  </si>
  <si>
    <t>10 pts</t>
  </si>
  <si>
    <t>S1G43A</t>
  </si>
  <si>
    <t>E-STU</t>
  </si>
  <si>
    <t>CX6200F – JL728B</t>
  </si>
  <si>
    <t>JL659A</t>
  </si>
  <si>
    <t>S0E91A</t>
  </si>
  <si>
    <t>Q9G69A</t>
  </si>
  <si>
    <t>cable connector</t>
  </si>
  <si>
    <t>50G LR 10km SMF</t>
  </si>
  <si>
    <t>S1G83A</t>
  </si>
  <si>
    <t>S1G33A</t>
  </si>
  <si>
    <t>S1F87A</t>
  </si>
  <si>
    <t>antenna</t>
  </si>
  <si>
    <t>S1F85A</t>
  </si>
  <si>
    <t>S1F86A</t>
  </si>
  <si>
    <t>R9H97A</t>
  </si>
  <si>
    <t>S4K19A</t>
  </si>
  <si>
    <t>ap mount</t>
  </si>
  <si>
    <t>transceiver</t>
  </si>
  <si>
    <t>option</t>
  </si>
  <si>
    <t>ap</t>
  </si>
  <si>
    <t>invision</t>
  </si>
  <si>
    <t>DAC</t>
  </si>
  <si>
    <t>power supply</t>
  </si>
  <si>
    <t>JL087A#ABA</t>
  </si>
  <si>
    <t>add</t>
  </si>
  <si>
    <t>CW91721-CFG</t>
  </si>
  <si>
    <t>LIC-CW-E</t>
  </si>
  <si>
    <t>C9350-48P</t>
  </si>
  <si>
    <t>LIC-CS-AC1-L-E</t>
  </si>
  <si>
    <t>C9350-48HX</t>
  </si>
  <si>
    <t>QSFP-100G-CU1M=</t>
  </si>
  <si>
    <t>QSFP</t>
  </si>
  <si>
    <t>SFP-50G-LR-S=</t>
  </si>
  <si>
    <t>CW9163E-MR</t>
  </si>
  <si>
    <t>CW-ANT-01NS-00</t>
  </si>
  <si>
    <t>cisco</t>
  </si>
  <si>
    <t>option-alt</t>
  </si>
  <si>
    <t>blueally</t>
  </si>
  <si>
    <t>FortiAP-231K</t>
  </si>
  <si>
    <t>FortiEdge Cloud</t>
  </si>
  <si>
    <t>248E-PoE-1RU</t>
  </si>
  <si>
    <t>FortiLAN Cloud</t>
  </si>
  <si>
    <t>1048G</t>
  </si>
  <si>
    <t>648F-FPOE</t>
  </si>
  <si>
    <t>fortinet</t>
  </si>
  <si>
    <t>QSFP28</t>
  </si>
  <si>
    <t>leighton</t>
  </si>
  <si>
    <t>lockStep</t>
  </si>
  <si>
    <t>50GE SFP56</t>
  </si>
  <si>
    <t>incl with S0H11A - UFC corrected</t>
  </si>
  <si>
    <t>listed 5pack price. UFC corrected to unit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</si>
</sst>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0.0000"/>
  </numFmts>
  <fonts count="25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59666D"/>
      <name val="Calibre"/>
    </font>
    <font>
      <sz val="12"/>
      <color rgb="FF000000"/>
      <name val="Arial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i/>
      <sz val="12"/>
      <color theme="1" tint="0.34998626667073579"/>
      <name val="Calibri"/>
      <family val="2"/>
      <scheme val="minor"/>
    </font>
    <font>
      <i/>
      <sz val="12"/>
      <color theme="0" tint="-0.499984740745262"/>
      <name val="Calibri"/>
      <family val="2"/>
      <scheme val="minor"/>
    </font>
    <font>
      <i/>
      <sz val="12"/>
      <color theme="6"/>
      <name val="Calibri"/>
      <family val="2"/>
      <scheme val="minor"/>
    </font>
    <font>
      <sz val="12"/>
      <color rgb="FF000000"/>
      <name val="Verdana"/>
      <family val="2"/>
    </font>
    <font>
      <i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i/>
      <sz val="9"/>
      <color theme="6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9">
    <xf numFmtId="0" fontId="0" fillId="0" borderId="0"/>
    <xf numFmtId="0" fontId="6" fillId="0" borderId="0"/>
    <xf numFmtId="0" fontId="4" fillId="0" borderId="0"/>
    <xf numFmtId="0" fontId="17" fillId="0" borderId="0"/>
    <xf numFmtId="0" fontId="20" fillId="0" borderId="0"/>
    <xf numFmtId="0" fontId="3" fillId="4" borderId="0" applyNumberFormat="0" applyBorder="0" applyAlignment="0" applyProtection="0"/>
    <xf numFmtId="0" fontId="2" fillId="0" borderId="0"/>
    <xf numFmtId="0" fontId="21" fillId="0" borderId="0"/>
    <xf numFmtId="0" fontId="1" fillId="0" borderId="0"/>
  </cellStyleXfs>
  <cellXfs count="98">
    <xf numFmtId="0" fontId="0" fillId="0" borderId="0" xfId="0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6" fillId="3" borderId="1" xfId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 applyAlignment="1">
      <alignment horizontal="left"/>
    </xf>
    <xf numFmtId="0" fontId="12" fillId="2" borderId="7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2" fontId="10" fillId="2" borderId="9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2" fontId="10" fillId="2" borderId="0" xfId="0" applyNumberFormat="1" applyFont="1" applyFill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14" fillId="3" borderId="11" xfId="0" applyFont="1" applyFill="1" applyBorder="1" applyAlignment="1">
      <alignment horizontal="center" vertical="top"/>
    </xf>
    <xf numFmtId="4" fontId="11" fillId="2" borderId="0" xfId="0" applyNumberFormat="1" applyFont="1" applyFill="1" applyAlignment="1">
      <alignment horizontal="center" vertical="center"/>
    </xf>
    <xf numFmtId="4" fontId="10" fillId="2" borderId="0" xfId="0" applyNumberFormat="1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12" xfId="0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164" fontId="0" fillId="2" borderId="12" xfId="0" applyNumberFormat="1" applyFill="1" applyBorder="1" applyAlignment="1">
      <alignment horizontal="center" vertical="center"/>
    </xf>
    <xf numFmtId="2" fontId="10" fillId="2" borderId="12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4" fontId="0" fillId="2" borderId="13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 vertical="center"/>
    </xf>
    <xf numFmtId="4" fontId="11" fillId="2" borderId="12" xfId="0" applyNumberFormat="1" applyFont="1" applyFill="1" applyBorder="1" applyAlignment="1">
      <alignment horizontal="center" vertical="center"/>
    </xf>
    <xf numFmtId="4" fontId="10" fillId="2" borderId="12" xfId="0" applyNumberFormat="1" applyFont="1" applyFill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" fontId="0" fillId="2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49" fontId="0" fillId="2" borderId="0" xfId="0" applyNumberFormat="1" applyFill="1" applyAlignment="1">
      <alignment horizontal="right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15" fillId="2" borderId="0" xfId="0" applyFont="1" applyFill="1" applyAlignment="1">
      <alignment horizontal="center"/>
    </xf>
    <xf numFmtId="0" fontId="19" fillId="0" borderId="0" xfId="4" applyFont="1" applyAlignment="1">
      <alignment horizontal="center" vertical="center"/>
    </xf>
    <xf numFmtId="0" fontId="0" fillId="0" borderId="0" xfId="0" applyAlignment="1">
      <alignment horizontal="center"/>
    </xf>
    <xf numFmtId="43" fontId="0" fillId="0" borderId="0" xfId="0" applyNumberFormat="1"/>
    <xf numFmtId="0" fontId="0" fillId="0" borderId="0" xfId="0" applyAlignment="1">
      <alignment horizontal="right"/>
    </xf>
    <xf numFmtId="43" fontId="20" fillId="0" borderId="17" xfId="4" applyNumberFormat="1" applyBorder="1"/>
    <xf numFmtId="2" fontId="0" fillId="0" borderId="13" xfId="0" applyNumberFormat="1" applyBorder="1" applyAlignment="1">
      <alignment horizontal="center" vertical="center"/>
    </xf>
    <xf numFmtId="0" fontId="19" fillId="4" borderId="16" xfId="5" applyFont="1" applyBorder="1" applyAlignment="1">
      <alignment horizontal="center" wrapText="1"/>
    </xf>
    <xf numFmtId="0" fontId="19" fillId="4" borderId="16" xfId="5" applyFont="1" applyBorder="1" applyAlignment="1">
      <alignment horizontal="center" vertical="center"/>
    </xf>
    <xf numFmtId="43" fontId="19" fillId="4" borderId="16" xfId="5" applyNumberFormat="1" applyFont="1" applyBorder="1" applyAlignment="1">
      <alignment horizontal="center" vertical="center"/>
    </xf>
    <xf numFmtId="0" fontId="1" fillId="3" borderId="1" xfId="8" applyFill="1" applyBorder="1" applyAlignment="1">
      <alignment horizontal="center" vertical="center"/>
    </xf>
    <xf numFmtId="43" fontId="1" fillId="3" borderId="1" xfId="8" applyNumberFormat="1" applyFill="1" applyBorder="1" applyAlignment="1">
      <alignment horizontal="center" vertical="center" wrapText="1"/>
    </xf>
    <xf numFmtId="43" fontId="1" fillId="3" borderId="1" xfId="8" applyNumberFormat="1" applyFill="1" applyBorder="1" applyAlignment="1">
      <alignment horizontal="center" vertical="center"/>
    </xf>
    <xf numFmtId="1" fontId="1" fillId="3" borderId="1" xfId="8" applyNumberFormat="1" applyFill="1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3" fillId="2" borderId="7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/>
    </xf>
    <xf numFmtId="0" fontId="20" fillId="0" borderId="16" xfId="4" applyBorder="1" applyAlignment="1">
      <alignment horizontal="center"/>
    </xf>
    <xf numFmtId="43" fontId="20" fillId="0" borderId="16" xfId="4" applyNumberFormat="1" applyBorder="1"/>
    <xf numFmtId="10" fontId="20" fillId="0" borderId="16" xfId="4" applyNumberFormat="1" applyBorder="1" applyAlignment="1">
      <alignment horizontal="right"/>
    </xf>
    <xf numFmtId="0" fontId="20" fillId="0" borderId="0" xfId="4"/>
    <xf numFmtId="0" fontId="20" fillId="0" borderId="0" xfId="4" applyAlignment="1">
      <alignment horizontal="center"/>
    </xf>
    <xf numFmtId="0" fontId="24" fillId="3" borderId="11" xfId="0" applyFont="1" applyFill="1" applyBorder="1" applyAlignment="1">
      <alignment horizontal="center" vertical="top"/>
    </xf>
    <xf numFmtId="0" fontId="20" fillId="5" borderId="16" xfId="4" applyFill="1" applyBorder="1" applyAlignment="1">
      <alignment horizontal="center"/>
    </xf>
    <xf numFmtId="43" fontId="20" fillId="5" borderId="16" xfId="4" applyNumberFormat="1" applyFill="1" applyBorder="1"/>
    <xf numFmtId="10" fontId="20" fillId="5" borderId="16" xfId="4" applyNumberFormat="1" applyFill="1" applyBorder="1" applyAlignment="1">
      <alignment horizontal="right"/>
    </xf>
    <xf numFmtId="0" fontId="20" fillId="5" borderId="0" xfId="4" applyFill="1"/>
    <xf numFmtId="0" fontId="20" fillId="5" borderId="0" xfId="4" applyFill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3" borderId="2" xfId="0" applyNumberFormat="1" applyFill="1" applyBorder="1" applyAlignment="1">
      <alignment horizontal="center" vertical="center"/>
    </xf>
    <xf numFmtId="43" fontId="0" fillId="3" borderId="2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6" borderId="13" xfId="0" applyFill="1" applyBorder="1" applyAlignment="1">
      <alignment horizontal="center" vertical="center"/>
    </xf>
    <xf numFmtId="14" fontId="0" fillId="6" borderId="13" xfId="0" applyNumberFormat="1" applyFill="1" applyBorder="1" applyAlignment="1">
      <alignment horizontal="center" vertical="center"/>
    </xf>
    <xf numFmtId="2" fontId="0" fillId="6" borderId="13" xfId="0" applyNumberFormat="1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64" fontId="0" fillId="6" borderId="12" xfId="0" applyNumberFormat="1" applyFill="1" applyBorder="1" applyAlignment="1">
      <alignment horizontal="center" vertical="center"/>
    </xf>
    <xf numFmtId="2" fontId="10" fillId="6" borderId="12" xfId="0" applyNumberFormat="1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0" xfId="0" applyFill="1" applyAlignment="1">
      <alignment horizontal="center"/>
    </xf>
  </cellXfs>
  <cellStyles count="9">
    <cellStyle name="40% - Accent3 2" xfId="5" xr:uid="{86803391-402C-4CB9-AF74-319EDAA0A517}"/>
    <cellStyle name="Normal" xfId="0" builtinId="0"/>
    <cellStyle name="Normal 2" xfId="1" xr:uid="{00000000-0005-0000-0000-000001000000}"/>
    <cellStyle name="Normal 2 2" xfId="3" xr:uid="{944D6060-2B68-4AE8-B460-6DCF41CE3CB8}"/>
    <cellStyle name="Normal 2 3" xfId="8" xr:uid="{FF9A5B9B-E04C-4BF6-8330-63083C5CE375}"/>
    <cellStyle name="Normal 3" xfId="2" xr:uid="{935B227E-1AC9-42CD-9029-437313C32CBD}"/>
    <cellStyle name="Normal 3 2" xfId="4" xr:uid="{885F45EF-E593-475B-8443-35B1E0494F70}"/>
    <cellStyle name="Normal 4" xfId="6" xr:uid="{6345F210-3CAA-4DBA-A8A3-225A8D05CF36}"/>
    <cellStyle name="Normal 5" xfId="7" xr:uid="{5EF54D11-CE7E-43C4-8801-419A656F8639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22"/>
  <sheetViews>
    <sheetView zoomScale="88" workbookViewId="0">
      <selection activeCell="B8" sqref="B8:H8"/>
    </sheetView>
  </sheetViews>
  <sheetFormatPr defaultColWidth="10.875" defaultRowHeight="15.75"/>
  <cols>
    <col min="1" max="1" width="10.875" style="3"/>
    <col min="2" max="2" width="25" style="1" customWidth="1"/>
    <col min="3" max="3" width="16.625" style="2" customWidth="1"/>
    <col min="4" max="4" width="19.5" style="2" customWidth="1"/>
    <col min="5" max="5" width="16.125" style="2" customWidth="1"/>
    <col min="6" max="6" width="14" style="2" customWidth="1"/>
    <col min="7" max="7" width="17.375" style="2" customWidth="1"/>
    <col min="8" max="8" width="14" style="2" customWidth="1"/>
    <col min="9" max="16384" width="10.875" style="3"/>
  </cols>
  <sheetData>
    <row r="2" spans="2:8">
      <c r="B2" s="47" t="s">
        <v>53</v>
      </c>
      <c r="C2" s="2" t="s">
        <v>71</v>
      </c>
    </row>
    <row r="3" spans="2:8">
      <c r="B3" s="47" t="s">
        <v>54</v>
      </c>
      <c r="C3" s="2">
        <v>127444</v>
      </c>
    </row>
    <row r="4" spans="2:8">
      <c r="B4" s="45" t="s">
        <v>52</v>
      </c>
      <c r="C4" s="46">
        <v>260018902</v>
      </c>
    </row>
    <row r="5" spans="2:8" ht="36" customHeight="1">
      <c r="B5" s="79" t="s">
        <v>0</v>
      </c>
      <c r="C5" s="79" t="s">
        <v>1</v>
      </c>
      <c r="D5" s="18" t="s">
        <v>48</v>
      </c>
      <c r="E5" s="18" t="s">
        <v>30</v>
      </c>
      <c r="F5" s="18" t="s">
        <v>35</v>
      </c>
      <c r="G5" s="18" t="s">
        <v>38</v>
      </c>
      <c r="H5" s="18" t="s">
        <v>25</v>
      </c>
    </row>
    <row r="6" spans="2:8" ht="21" customHeight="1">
      <c r="B6" s="80"/>
      <c r="C6" s="80"/>
      <c r="D6" s="71" t="s">
        <v>81</v>
      </c>
      <c r="E6" s="71" t="s">
        <v>82</v>
      </c>
      <c r="F6" s="71" t="s">
        <v>83</v>
      </c>
      <c r="G6" s="71" t="s">
        <v>83</v>
      </c>
      <c r="H6" s="19"/>
    </row>
    <row r="7" spans="2:8" s="5" customFormat="1" ht="33.950000000000003" customHeight="1">
      <c r="B7" s="32" t="str">
        <f>B16</f>
        <v>AiOS</v>
      </c>
      <c r="C7" s="33"/>
      <c r="D7" s="34">
        <f>pricingEval!O3</f>
        <v>31.689959914823429</v>
      </c>
      <c r="E7" s="34">
        <f>Proposal!O3</f>
        <v>28</v>
      </c>
      <c r="F7" s="34">
        <f>bizReq!J4</f>
        <v>8</v>
      </c>
      <c r="G7" s="34">
        <f>VendorEval!S2</f>
        <v>9.5</v>
      </c>
      <c r="H7" s="54">
        <f>SUM(D7,G7,E7,F7)</f>
        <v>77.189959914823433</v>
      </c>
    </row>
    <row r="8" spans="2:8" s="5" customFormat="1" ht="33.950000000000003" customHeight="1">
      <c r="B8" s="90" t="str">
        <f>B17</f>
        <v>Lockstep</v>
      </c>
      <c r="C8" s="91"/>
      <c r="D8" s="92">
        <f>pricingEval!O4</f>
        <v>33.789576420712784</v>
      </c>
      <c r="E8" s="92">
        <f>Proposal!O4</f>
        <v>35</v>
      </c>
      <c r="F8" s="92">
        <f>bizReq!J5</f>
        <v>10</v>
      </c>
      <c r="G8" s="92">
        <f>VendorEval!S3</f>
        <v>10</v>
      </c>
      <c r="H8" s="92">
        <f>SUM(D8,G8,E8,F8)</f>
        <v>88.789576420712791</v>
      </c>
    </row>
    <row r="9" spans="2:8" s="5" customFormat="1" ht="33.950000000000003" customHeight="1">
      <c r="B9" s="32" t="str">
        <f>B18</f>
        <v>Invsion</v>
      </c>
      <c r="C9" s="33"/>
      <c r="D9" s="34">
        <f>pricingEval!O5</f>
        <v>20.353882296518155</v>
      </c>
      <c r="E9" s="34">
        <f>Proposal!O5</f>
        <v>35</v>
      </c>
      <c r="F9" s="34">
        <f>bizReq!J6</f>
        <v>10</v>
      </c>
      <c r="G9" s="34">
        <f>VendorEval!S4</f>
        <v>6</v>
      </c>
      <c r="H9" s="54">
        <f>SUM(D9,G9,E9,F9)</f>
        <v>71.353882296518151</v>
      </c>
    </row>
    <row r="10" spans="2:8" s="5" customFormat="1" ht="33.950000000000003" customHeight="1">
      <c r="B10" s="32" t="str">
        <f>B19</f>
        <v>Blueally</v>
      </c>
      <c r="C10" s="33"/>
      <c r="D10" s="34">
        <f>pricingEval!O6</f>
        <v>45</v>
      </c>
      <c r="E10" s="34">
        <f>Proposal!O6</f>
        <v>28</v>
      </c>
      <c r="F10" s="34">
        <f>bizReq!J7</f>
        <v>8</v>
      </c>
      <c r="G10" s="34">
        <f>VendorEval!S5</f>
        <v>7</v>
      </c>
      <c r="H10" s="54">
        <f>SUM(D10,G10,E10,F10)</f>
        <v>88</v>
      </c>
    </row>
    <row r="11" spans="2:8" s="5" customFormat="1" ht="33.950000000000003" customHeight="1">
      <c r="B11" s="32" t="str">
        <f>B20</f>
        <v>Leighton &amp; Alex</v>
      </c>
      <c r="C11" s="33"/>
      <c r="D11" s="34">
        <f>pricingEval!O7</f>
        <v>21.77129307185206</v>
      </c>
      <c r="E11" s="34">
        <f>Proposal!O7</f>
        <v>35</v>
      </c>
      <c r="F11" s="34">
        <f>bizReq!J8</f>
        <v>10</v>
      </c>
      <c r="G11" s="34">
        <f>VendorEval!S6</f>
        <v>0</v>
      </c>
      <c r="H11" s="54">
        <f>SUM(D11,G11,E11,F11)</f>
        <v>66.771293071852057</v>
      </c>
    </row>
    <row r="12" spans="2:8" ht="18.95" customHeight="1">
      <c r="B12" s="10"/>
    </row>
    <row r="13" spans="2:8" ht="24" customHeight="1"/>
    <row r="15" spans="2:8">
      <c r="B15" s="48" t="s">
        <v>0</v>
      </c>
      <c r="C15" s="48" t="s">
        <v>5</v>
      </c>
    </row>
    <row r="16" spans="2:8">
      <c r="B16" s="3" t="s">
        <v>68</v>
      </c>
      <c r="C16" s="2">
        <v>143047939</v>
      </c>
      <c r="D16" s="3"/>
      <c r="E16" s="3"/>
      <c r="F16" s="3"/>
      <c r="G16" s="3"/>
      <c r="H16" s="3"/>
    </row>
    <row r="17" spans="2:8">
      <c r="B17" s="3" t="s">
        <v>72</v>
      </c>
      <c r="C17" s="2">
        <v>143036157</v>
      </c>
      <c r="D17" s="3"/>
      <c r="E17" s="3"/>
      <c r="F17" s="3"/>
      <c r="G17" s="3"/>
      <c r="H17" s="3"/>
    </row>
    <row r="18" spans="2:8">
      <c r="B18" s="3" t="s">
        <v>73</v>
      </c>
      <c r="C18" s="2">
        <v>143037390</v>
      </c>
      <c r="D18" s="3"/>
      <c r="E18" s="3"/>
      <c r="F18" s="3"/>
      <c r="G18" s="3"/>
      <c r="H18" s="3"/>
    </row>
    <row r="19" spans="2:8">
      <c r="B19" s="3" t="s">
        <v>79</v>
      </c>
      <c r="C19" s="2">
        <v>143044080</v>
      </c>
      <c r="D19" s="3"/>
      <c r="E19" s="3"/>
      <c r="F19" s="3"/>
      <c r="G19" s="3"/>
      <c r="H19" s="3"/>
    </row>
    <row r="20" spans="2:8">
      <c r="B20" s="3" t="s">
        <v>80</v>
      </c>
      <c r="C20" s="50">
        <v>143055081</v>
      </c>
      <c r="D20" s="3"/>
      <c r="E20" s="3"/>
      <c r="F20" s="3"/>
      <c r="G20" s="3"/>
      <c r="H20" s="3"/>
    </row>
    <row r="21" spans="2:8">
      <c r="B21" s="3"/>
      <c r="D21" s="3"/>
      <c r="E21" s="3"/>
      <c r="F21" s="3"/>
      <c r="G21" s="3"/>
      <c r="H21" s="3"/>
    </row>
    <row r="22" spans="2:8">
      <c r="B22" s="3"/>
    </row>
  </sheetData>
  <mergeCells count="2">
    <mergeCell ref="B5:B6"/>
    <mergeCell ref="C5:C6"/>
  </mergeCells>
  <printOptions horizontalCentered="1"/>
  <pageMargins left="0.7" right="0.7" top="0.75" bottom="0.75" header="0.3" footer="0.3"/>
  <pageSetup scale="5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"/>
  <sheetViews>
    <sheetView tabSelected="1" zoomScale="90" zoomScaleNormal="90" workbookViewId="0">
      <selection activeCell="A4" sqref="A4:XFD4"/>
    </sheetView>
  </sheetViews>
  <sheetFormatPr defaultColWidth="10.875" defaultRowHeight="15.75"/>
  <cols>
    <col min="1" max="1" width="15" style="2" customWidth="1"/>
    <col min="2" max="2" width="15" style="2" bestFit="1" customWidth="1"/>
    <col min="3" max="3" width="11.875" style="2" bestFit="1" customWidth="1"/>
    <col min="4" max="4" width="17.5" style="2" customWidth="1"/>
    <col min="5" max="5" width="16.125" style="2" bestFit="1" customWidth="1"/>
    <col min="6" max="6" width="9.625" style="2" customWidth="1"/>
    <col min="7" max="7" width="21.125" style="2" hidden="1" customWidth="1"/>
    <col min="8" max="8" width="17" style="2" customWidth="1"/>
    <col min="9" max="9" width="14" style="2" customWidth="1"/>
    <col min="10" max="10" width="21.625" style="2" customWidth="1"/>
    <col min="11" max="11" width="22.125" style="2" customWidth="1"/>
    <col min="12" max="12" width="17.875" style="2" bestFit="1" customWidth="1"/>
    <col min="13" max="14" width="22.375" style="2" bestFit="1" customWidth="1"/>
    <col min="15" max="15" width="21.375" style="2" bestFit="1" customWidth="1"/>
    <col min="16" max="17" width="18" style="2" hidden="1" customWidth="1"/>
    <col min="18" max="18" width="66" style="2" customWidth="1"/>
    <col min="19" max="16384" width="10.875" style="2"/>
  </cols>
  <sheetData>
    <row r="1" spans="1:18">
      <c r="A1" s="81" t="s">
        <v>2</v>
      </c>
      <c r="B1" s="81" t="s">
        <v>3</v>
      </c>
      <c r="C1" s="81" t="s">
        <v>4</v>
      </c>
      <c r="D1" s="81" t="s">
        <v>5</v>
      </c>
      <c r="E1" s="81" t="s">
        <v>22</v>
      </c>
      <c r="F1" s="81" t="s">
        <v>12</v>
      </c>
      <c r="G1" s="81" t="s">
        <v>26</v>
      </c>
      <c r="H1" s="81" t="s">
        <v>42</v>
      </c>
      <c r="I1" s="81" t="s">
        <v>43</v>
      </c>
      <c r="J1" s="81" t="s">
        <v>44</v>
      </c>
      <c r="K1" s="81" t="s">
        <v>45</v>
      </c>
      <c r="L1" s="81" t="s">
        <v>27</v>
      </c>
      <c r="M1" s="81" t="s">
        <v>46</v>
      </c>
      <c r="N1" s="81" t="s">
        <v>47</v>
      </c>
      <c r="O1" s="83" t="s">
        <v>28</v>
      </c>
      <c r="P1" s="83" t="s">
        <v>29</v>
      </c>
      <c r="Q1" s="83" t="s">
        <v>7</v>
      </c>
      <c r="R1" s="84" t="s">
        <v>8</v>
      </c>
    </row>
    <row r="2" spans="1:18" ht="36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</row>
    <row r="3" spans="1:18" ht="27" customHeight="1">
      <c r="A3" s="28">
        <f>EvalSummary!$C$3</f>
        <v>127444</v>
      </c>
      <c r="B3" s="28" t="str">
        <f>EvalSummary!$C$2</f>
        <v>Houston CSD</v>
      </c>
      <c r="C3" s="28">
        <f>EvalSummary!$C$4</f>
        <v>260018902</v>
      </c>
      <c r="D3" s="28">
        <f>EvalSummary!C16</f>
        <v>143047939</v>
      </c>
      <c r="E3" s="28" t="str">
        <f>EvalSummary!B16</f>
        <v>AiOS</v>
      </c>
      <c r="F3" s="28" t="s">
        <v>41</v>
      </c>
      <c r="G3" s="28"/>
      <c r="H3" s="28"/>
      <c r="I3" s="30">
        <v>705123.5</v>
      </c>
      <c r="J3" s="30">
        <v>705123.5</v>
      </c>
      <c r="K3" s="30">
        <v>0</v>
      </c>
      <c r="L3" s="30"/>
      <c r="M3" s="30">
        <f t="shared" ref="M3" si="0">SUM(I3+L3)</f>
        <v>705123.5</v>
      </c>
      <c r="N3" s="30">
        <f t="shared" ref="N3:N7" si="1">M3</f>
        <v>705123.5</v>
      </c>
      <c r="O3" s="31">
        <f>IFERROR((_xlfn.MINIFS($N$3:$N$7, $N$3:$N$7, "&gt;0")/N3)*45,0)</f>
        <v>31.689959914823429</v>
      </c>
      <c r="P3" s="39"/>
      <c r="Q3" s="39"/>
      <c r="R3" s="39"/>
    </row>
    <row r="4" spans="1:18" s="97" customFormat="1" ht="27" customHeight="1">
      <c r="A4" s="93">
        <f>EvalSummary!$C$3</f>
        <v>127444</v>
      </c>
      <c r="B4" s="93" t="str">
        <f>EvalSummary!$C$2</f>
        <v>Houston CSD</v>
      </c>
      <c r="C4" s="93">
        <f>EvalSummary!$C$4</f>
        <v>260018902</v>
      </c>
      <c r="D4" s="93">
        <f>EvalSummary!C17</f>
        <v>143036157</v>
      </c>
      <c r="E4" s="93" t="str">
        <f>EvalSummary!B17</f>
        <v>Lockstep</v>
      </c>
      <c r="F4" s="93" t="s">
        <v>41</v>
      </c>
      <c r="G4" s="93"/>
      <c r="H4" s="93"/>
      <c r="I4" s="94">
        <v>661308.54</v>
      </c>
      <c r="J4" s="94">
        <v>661308.54</v>
      </c>
      <c r="K4" s="94">
        <v>0</v>
      </c>
      <c r="L4" s="94"/>
      <c r="M4" s="94">
        <f t="shared" ref="M4:M7" si="2">SUM(I4+L4)</f>
        <v>661308.54</v>
      </c>
      <c r="N4" s="94">
        <f t="shared" si="1"/>
        <v>661308.54</v>
      </c>
      <c r="O4" s="95">
        <f>IFERROR((_xlfn.MINIFS($N$3:$N$7, $N$3:$N$7, "&gt;0")/N4)*45,0)</f>
        <v>33.789576420712784</v>
      </c>
      <c r="P4" s="96"/>
      <c r="Q4" s="96"/>
      <c r="R4" s="96"/>
    </row>
    <row r="5" spans="1:18" ht="27" customHeight="1">
      <c r="A5" s="28">
        <f>EvalSummary!$C$3</f>
        <v>127444</v>
      </c>
      <c r="B5" s="28" t="str">
        <f>EvalSummary!$C$2</f>
        <v>Houston CSD</v>
      </c>
      <c r="C5" s="28">
        <f>EvalSummary!$C$4</f>
        <v>260018902</v>
      </c>
      <c r="D5" s="28">
        <f>EvalSummary!C18</f>
        <v>143037390</v>
      </c>
      <c r="E5" s="28" t="str">
        <f>EvalSummary!B18</f>
        <v>Invsion</v>
      </c>
      <c r="F5" s="28" t="s">
        <v>41</v>
      </c>
      <c r="G5" s="28"/>
      <c r="H5" s="28"/>
      <c r="I5" s="30">
        <v>1097841.44</v>
      </c>
      <c r="J5" s="30">
        <v>1097841.44</v>
      </c>
      <c r="K5" s="30">
        <v>0</v>
      </c>
      <c r="L5" s="30"/>
      <c r="M5" s="30">
        <f t="shared" si="2"/>
        <v>1097841.44</v>
      </c>
      <c r="N5" s="30">
        <f t="shared" si="1"/>
        <v>1097841.44</v>
      </c>
      <c r="O5" s="31">
        <f>IFERROR((_xlfn.MINIFS($N$3:$N$7, $N$3:$N$7, "&gt;0")/N5)*45,0)</f>
        <v>20.353882296518155</v>
      </c>
      <c r="P5" s="39"/>
      <c r="Q5" s="39"/>
      <c r="R5" s="39"/>
    </row>
    <row r="6" spans="1:18" ht="27" customHeight="1">
      <c r="A6" s="28">
        <f>EvalSummary!$C$3</f>
        <v>127444</v>
      </c>
      <c r="B6" s="28" t="str">
        <f>EvalSummary!$C$2</f>
        <v>Houston CSD</v>
      </c>
      <c r="C6" s="28">
        <f>EvalSummary!$C$4</f>
        <v>260018902</v>
      </c>
      <c r="D6" s="28">
        <f>EvalSummary!C19</f>
        <v>143044080</v>
      </c>
      <c r="E6" s="28" t="str">
        <f>EvalSummary!B19</f>
        <v>Blueally</v>
      </c>
      <c r="F6" s="28" t="s">
        <v>41</v>
      </c>
      <c r="G6" s="28"/>
      <c r="H6" s="28"/>
      <c r="I6" s="30">
        <v>496563.00999999995</v>
      </c>
      <c r="J6" s="30">
        <v>496563.00999999995</v>
      </c>
      <c r="K6" s="30">
        <v>0</v>
      </c>
      <c r="L6" s="30"/>
      <c r="M6" s="30">
        <f t="shared" si="2"/>
        <v>496563.00999999995</v>
      </c>
      <c r="N6" s="30">
        <f t="shared" si="1"/>
        <v>496563.00999999995</v>
      </c>
      <c r="O6" s="31">
        <f>IFERROR((_xlfn.MINIFS($N$3:$N$7, $N$3:$N$7, "&gt;0")/N6)*45,0)</f>
        <v>45</v>
      </c>
      <c r="P6" s="39"/>
      <c r="Q6" s="39"/>
      <c r="R6" s="39"/>
    </row>
    <row r="7" spans="1:18" ht="27" customHeight="1">
      <c r="A7" s="28">
        <f>EvalSummary!$C$3</f>
        <v>127444</v>
      </c>
      <c r="B7" s="28" t="str">
        <f>EvalSummary!$C$2</f>
        <v>Houston CSD</v>
      </c>
      <c r="C7" s="28">
        <f>EvalSummary!$C$4</f>
        <v>260018902</v>
      </c>
      <c r="D7" s="28">
        <f>EvalSummary!C20</f>
        <v>143055081</v>
      </c>
      <c r="E7" s="28" t="str">
        <f>EvalSummary!B20</f>
        <v>Leighton &amp; Alex</v>
      </c>
      <c r="F7" s="28" t="s">
        <v>41</v>
      </c>
      <c r="G7" s="28"/>
      <c r="H7" s="28"/>
      <c r="I7" s="30">
        <v>1026366.94</v>
      </c>
      <c r="J7" s="30">
        <v>1026366.94</v>
      </c>
      <c r="K7" s="30">
        <v>0</v>
      </c>
      <c r="L7" s="30"/>
      <c r="M7" s="30">
        <f t="shared" si="2"/>
        <v>1026366.94</v>
      </c>
      <c r="N7" s="30">
        <f t="shared" si="1"/>
        <v>1026366.94</v>
      </c>
      <c r="O7" s="31">
        <f>IFERROR((_xlfn.MINIFS($N$3:$N$7, $N$3:$N$7, "&gt;0")/N7)*45,0)</f>
        <v>21.77129307185206</v>
      </c>
      <c r="P7" s="39"/>
      <c r="Q7" s="39"/>
      <c r="R7" s="39"/>
    </row>
    <row r="8" spans="1:18" ht="35.1" customHeight="1">
      <c r="A8" s="15"/>
      <c r="B8" s="15"/>
      <c r="C8" s="15"/>
      <c r="D8" s="15"/>
      <c r="E8" s="15"/>
      <c r="F8" s="15"/>
      <c r="G8" s="15"/>
      <c r="H8" s="15"/>
      <c r="I8" s="16"/>
      <c r="J8" s="16"/>
      <c r="K8" s="16"/>
      <c r="L8" s="16"/>
      <c r="M8" s="16"/>
      <c r="N8" s="16"/>
      <c r="O8" s="17"/>
      <c r="P8" s="41"/>
      <c r="Q8" s="42"/>
      <c r="R8" s="39"/>
    </row>
  </sheetData>
  <autoFilter ref="A1:R7" xr:uid="{00000000-0001-0000-0100-000000000000}"/>
  <mergeCells count="18">
    <mergeCell ref="L1:L2"/>
    <mergeCell ref="Q1:Q2"/>
    <mergeCell ref="P1:P2"/>
    <mergeCell ref="R1:R2"/>
    <mergeCell ref="N1:N2"/>
    <mergeCell ref="M1:M2"/>
    <mergeCell ref="O1:O2"/>
    <mergeCell ref="K1:K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rintOptions horizontalCentered="1"/>
  <pageMargins left="0.25" right="0.25" top="0.75" bottom="0.75" header="0.3" footer="0.3"/>
  <pageSetup scale="35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7C978-6B21-5349-87EC-96CE07620AC9}">
  <sheetPr>
    <pageSetUpPr fitToPage="1"/>
  </sheetPr>
  <dimension ref="A2:O9"/>
  <sheetViews>
    <sheetView workbookViewId="0">
      <selection activeCell="A3" sqref="A3"/>
    </sheetView>
  </sheetViews>
  <sheetFormatPr defaultColWidth="10.875" defaultRowHeight="15.75"/>
  <cols>
    <col min="1" max="3" width="10.875" style="3"/>
    <col min="4" max="4" width="11.25" style="3" customWidth="1"/>
    <col min="5" max="5" width="15.375" style="3" customWidth="1"/>
    <col min="6" max="6" width="10.875" style="3"/>
    <col min="7" max="7" width="17" style="3" bestFit="1" customWidth="1"/>
    <col min="8" max="8" width="14.875" style="3" bestFit="1" customWidth="1"/>
    <col min="9" max="9" width="18.375" style="3" bestFit="1" customWidth="1"/>
    <col min="10" max="10" width="13.625" style="3" customWidth="1"/>
    <col min="11" max="11" width="12.5" style="2" customWidth="1"/>
    <col min="12" max="12" width="11.375" style="2" bestFit="1" customWidth="1"/>
    <col min="13" max="13" width="12.5" style="3" customWidth="1"/>
    <col min="14" max="14" width="12" style="3" bestFit="1" customWidth="1"/>
    <col min="15" max="15" width="17.5" style="3" customWidth="1"/>
    <col min="16" max="16384" width="10.875" style="3"/>
  </cols>
  <sheetData>
    <row r="2" spans="1:15" ht="36" customHeight="1">
      <c r="A2" s="6" t="s">
        <v>2</v>
      </c>
      <c r="B2" s="43" t="s">
        <v>3</v>
      </c>
      <c r="C2" s="43" t="s">
        <v>50</v>
      </c>
      <c r="D2" s="6" t="s">
        <v>5</v>
      </c>
      <c r="E2" s="6" t="s">
        <v>11</v>
      </c>
      <c r="F2" s="6" t="s">
        <v>12</v>
      </c>
      <c r="G2" s="6" t="s">
        <v>24</v>
      </c>
      <c r="H2" s="25" t="s">
        <v>31</v>
      </c>
      <c r="I2" s="25" t="s">
        <v>9</v>
      </c>
      <c r="J2" s="62" t="s">
        <v>74</v>
      </c>
      <c r="K2" s="62" t="s">
        <v>75</v>
      </c>
      <c r="L2" s="62" t="s">
        <v>69</v>
      </c>
      <c r="M2" s="6" t="s">
        <v>34</v>
      </c>
      <c r="N2" s="25" t="s">
        <v>30</v>
      </c>
      <c r="O2" s="25" t="s">
        <v>33</v>
      </c>
    </row>
    <row r="3" spans="1:15" ht="27" customHeight="1">
      <c r="A3" s="28">
        <f>EvalSummary!$C$3</f>
        <v>127444</v>
      </c>
      <c r="B3" s="28" t="str">
        <f>EvalSummary!$C$2</f>
        <v>Houston CSD</v>
      </c>
      <c r="C3" s="28">
        <f>EvalSummary!$C$4</f>
        <v>260018902</v>
      </c>
      <c r="D3" s="28">
        <f>EvalSummary!C16</f>
        <v>143047939</v>
      </c>
      <c r="E3" s="28" t="str">
        <f>EvalSummary!B16</f>
        <v>AiOS</v>
      </c>
      <c r="F3" s="4" t="s">
        <v>41</v>
      </c>
      <c r="G3" s="78">
        <v>1</v>
      </c>
      <c r="H3" s="13">
        <v>1</v>
      </c>
      <c r="I3" s="13">
        <v>0</v>
      </c>
      <c r="J3" s="28">
        <v>1</v>
      </c>
      <c r="K3" s="28">
        <v>1</v>
      </c>
      <c r="L3" s="28">
        <v>1</v>
      </c>
      <c r="M3" s="78">
        <v>1</v>
      </c>
      <c r="N3" s="13">
        <f>SUM((G3*$G$9)+(H3*$H$9)+(I3*$I$9)+(J3*$J$9)+(K3*$K$9)+(L3*$L$9)+(M3*$M$9))</f>
        <v>20</v>
      </c>
      <c r="O3" s="14">
        <f>(N3/MAX($N$3:$N$7))*35</f>
        <v>28</v>
      </c>
    </row>
    <row r="4" spans="1:15" ht="27" customHeight="1">
      <c r="A4" s="28">
        <f>EvalSummary!$C$3</f>
        <v>127444</v>
      </c>
      <c r="B4" s="28" t="str">
        <f>EvalSummary!$C$2</f>
        <v>Houston CSD</v>
      </c>
      <c r="C4" s="28">
        <f>EvalSummary!$C$4</f>
        <v>260018902</v>
      </c>
      <c r="D4" s="28">
        <f>EvalSummary!C17</f>
        <v>143036157</v>
      </c>
      <c r="E4" s="28" t="str">
        <f>EvalSummary!B17</f>
        <v>Lockstep</v>
      </c>
      <c r="F4" s="44" t="s">
        <v>41</v>
      </c>
      <c r="G4" s="78">
        <v>1</v>
      </c>
      <c r="H4" s="13">
        <v>1</v>
      </c>
      <c r="I4" s="13">
        <v>0</v>
      </c>
      <c r="J4" s="28">
        <v>1</v>
      </c>
      <c r="K4" s="28">
        <v>1</v>
      </c>
      <c r="L4" s="28">
        <v>0</v>
      </c>
      <c r="M4" s="78">
        <v>1</v>
      </c>
      <c r="N4" s="13">
        <f>SUM((G4*$G$9)+(H4*$H$9)+(I4*$I$9)+(J4*$J$9)+(K4*$K$9)+(L4*$L$9)+(M4*$M$9))</f>
        <v>25</v>
      </c>
      <c r="O4" s="14">
        <f>(N4/MAX($N$3:$N$7))*35</f>
        <v>35</v>
      </c>
    </row>
    <row r="5" spans="1:15" ht="27" customHeight="1">
      <c r="A5" s="28">
        <f>EvalSummary!$C$3</f>
        <v>127444</v>
      </c>
      <c r="B5" s="28" t="str">
        <f>EvalSummary!$C$2</f>
        <v>Houston CSD</v>
      </c>
      <c r="C5" s="28">
        <f>EvalSummary!$C$4</f>
        <v>260018902</v>
      </c>
      <c r="D5" s="28">
        <f>EvalSummary!C18</f>
        <v>143037390</v>
      </c>
      <c r="E5" s="28" t="str">
        <f>EvalSummary!B18</f>
        <v>Invsion</v>
      </c>
      <c r="F5" s="44" t="s">
        <v>41</v>
      </c>
      <c r="G5" s="78">
        <v>1</v>
      </c>
      <c r="H5" s="13">
        <v>1</v>
      </c>
      <c r="I5" s="13">
        <v>0</v>
      </c>
      <c r="J5" s="28">
        <v>1</v>
      </c>
      <c r="K5" s="28">
        <v>1</v>
      </c>
      <c r="L5" s="28">
        <v>0</v>
      </c>
      <c r="M5" s="78">
        <v>1</v>
      </c>
      <c r="N5" s="13">
        <f>SUM((G5*$G$9)+(H5*$H$9)+(I5*$I$9)+(J5*$J$9)+(K5*$K$9)+(L5*$L$9)+(M5*$M$9))</f>
        <v>25</v>
      </c>
      <c r="O5" s="14">
        <f>(N5/MAX($N$3:$N$7))*35</f>
        <v>35</v>
      </c>
    </row>
    <row r="6" spans="1:15" ht="27" customHeight="1">
      <c r="A6" s="28">
        <f>EvalSummary!$C$3</f>
        <v>127444</v>
      </c>
      <c r="B6" s="28" t="str">
        <f>EvalSummary!$C$2</f>
        <v>Houston CSD</v>
      </c>
      <c r="C6" s="28">
        <f>EvalSummary!$C$4</f>
        <v>260018902</v>
      </c>
      <c r="D6" s="28">
        <f>EvalSummary!C19</f>
        <v>143044080</v>
      </c>
      <c r="E6" s="28" t="str">
        <f>EvalSummary!B19</f>
        <v>Blueally</v>
      </c>
      <c r="F6" s="44" t="s">
        <v>41</v>
      </c>
      <c r="G6" s="78">
        <v>1</v>
      </c>
      <c r="H6" s="13">
        <v>1</v>
      </c>
      <c r="I6" s="13">
        <v>0</v>
      </c>
      <c r="J6" s="28">
        <v>1</v>
      </c>
      <c r="K6" s="28">
        <v>1</v>
      </c>
      <c r="L6" s="28">
        <v>1</v>
      </c>
      <c r="M6" s="78">
        <v>1</v>
      </c>
      <c r="N6" s="13">
        <f>SUM((G6*$G$9)+(H6*$H$9)+(I6*$I$9)+(J6*$J$9)+(K6*$K$9)+(L6*$L$9)+(M6*$M$9))</f>
        <v>20</v>
      </c>
      <c r="O6" s="14">
        <f>(N6/MAX($N$3:$N$7))*35</f>
        <v>28</v>
      </c>
    </row>
    <row r="7" spans="1:15" ht="27" customHeight="1">
      <c r="A7" s="28">
        <f>EvalSummary!$C$3</f>
        <v>127444</v>
      </c>
      <c r="B7" s="28" t="str">
        <f>EvalSummary!$C$2</f>
        <v>Houston CSD</v>
      </c>
      <c r="C7" s="28">
        <f>EvalSummary!$C$4</f>
        <v>260018902</v>
      </c>
      <c r="D7" s="28">
        <f>EvalSummary!C20</f>
        <v>143055081</v>
      </c>
      <c r="E7" s="28" t="str">
        <f>EvalSummary!B20</f>
        <v>Leighton &amp; Alex</v>
      </c>
      <c r="F7" s="44" t="s">
        <v>41</v>
      </c>
      <c r="G7" s="78">
        <v>1</v>
      </c>
      <c r="H7" s="13">
        <v>1</v>
      </c>
      <c r="I7" s="13">
        <v>0</v>
      </c>
      <c r="J7" s="28">
        <v>1</v>
      </c>
      <c r="K7" s="28">
        <v>1</v>
      </c>
      <c r="L7" s="28">
        <v>0</v>
      </c>
      <c r="M7" s="78">
        <v>1</v>
      </c>
      <c r="N7" s="13">
        <f>SUM((G7*$G$9)+(H7*$H$9)+(I7*$I$9)+(J7*$J$9)+(K7*$K$9)+(L7*$L$9)+(M7*$M$9))</f>
        <v>25</v>
      </c>
      <c r="O7" s="14">
        <f>(N7/MAX($N$3:$N$7))*35</f>
        <v>35</v>
      </c>
    </row>
    <row r="9" spans="1:15" s="26" customFormat="1">
      <c r="G9" s="63">
        <v>5</v>
      </c>
      <c r="H9" s="63">
        <v>5</v>
      </c>
      <c r="I9" s="63">
        <v>-1</v>
      </c>
      <c r="J9" s="64">
        <v>5</v>
      </c>
      <c r="K9" s="65">
        <v>5</v>
      </c>
      <c r="L9" s="65">
        <v>-5</v>
      </c>
      <c r="M9" s="63">
        <v>5</v>
      </c>
    </row>
  </sheetData>
  <printOptions horizontalCentered="1"/>
  <pageMargins left="0.25" right="0.25" top="0.75" bottom="0.75" header="0.3" footer="0.3"/>
  <pageSetup scale="65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760F4-2B78-7E4E-879A-2E2380C9151A}">
  <dimension ref="A2:J10"/>
  <sheetViews>
    <sheetView workbookViewId="0">
      <selection activeCell="A13" sqref="A13:XFD13"/>
    </sheetView>
  </sheetViews>
  <sheetFormatPr defaultColWidth="10.875" defaultRowHeight="15.75"/>
  <cols>
    <col min="1" max="1" width="10.875" style="3"/>
    <col min="2" max="2" width="12.875" style="3" customWidth="1"/>
    <col min="3" max="4" width="10.875" style="3"/>
    <col min="5" max="5" width="15.625" style="3" bestFit="1" customWidth="1"/>
    <col min="6" max="6" width="10.875" style="3"/>
    <col min="7" max="7" width="12.625" style="3" customWidth="1"/>
    <col min="8" max="8" width="12.5" style="3" customWidth="1"/>
    <col min="9" max="16384" width="10.875" style="3"/>
  </cols>
  <sheetData>
    <row r="2" spans="1:10">
      <c r="A2" s="81" t="s">
        <v>2</v>
      </c>
      <c r="B2" s="81" t="s">
        <v>3</v>
      </c>
      <c r="C2" s="81" t="s">
        <v>4</v>
      </c>
      <c r="D2" s="81" t="s">
        <v>5</v>
      </c>
      <c r="E2" s="81" t="s">
        <v>6</v>
      </c>
      <c r="F2" s="86" t="s">
        <v>12</v>
      </c>
      <c r="G2" s="86" t="s">
        <v>36</v>
      </c>
      <c r="H2" s="88" t="s">
        <v>32</v>
      </c>
      <c r="I2" s="81" t="s">
        <v>10</v>
      </c>
      <c r="J2" s="81" t="s">
        <v>37</v>
      </c>
    </row>
    <row r="3" spans="1:10">
      <c r="A3" s="85"/>
      <c r="B3" s="85"/>
      <c r="C3" s="85"/>
      <c r="D3" s="85"/>
      <c r="E3" s="85"/>
      <c r="F3" s="87"/>
      <c r="G3" s="87"/>
      <c r="H3" s="89"/>
      <c r="I3" s="85"/>
      <c r="J3" s="85"/>
    </row>
    <row r="4" spans="1:10" ht="27" customHeight="1">
      <c r="A4" s="28">
        <f>EvalSummary!$C$3</f>
        <v>127444</v>
      </c>
      <c r="B4" s="28" t="str">
        <f>EvalSummary!$C$2</f>
        <v>Houston CSD</v>
      </c>
      <c r="C4" s="28">
        <f>EvalSummary!$C$4</f>
        <v>260018902</v>
      </c>
      <c r="D4" s="28">
        <f>EvalSummary!C16</f>
        <v>143047939</v>
      </c>
      <c r="E4" s="28" t="str">
        <f>EvalSummary!B16</f>
        <v>AiOS</v>
      </c>
      <c r="F4" s="28" t="s">
        <v>41</v>
      </c>
      <c r="G4" s="77">
        <v>1</v>
      </c>
      <c r="H4" s="28">
        <v>1</v>
      </c>
      <c r="I4" s="28">
        <f>SUM((G4*$G$10)+(H4*$H$10))</f>
        <v>8</v>
      </c>
      <c r="J4" s="29">
        <f>IF(((I4/MAX($I$4:$I$8))*15)&lt;1,0,(I4/MAX($I$4:$I$8))*10)</f>
        <v>8</v>
      </c>
    </row>
    <row r="5" spans="1:10" ht="27" customHeight="1">
      <c r="A5" s="28">
        <f>EvalSummary!$C$3</f>
        <v>127444</v>
      </c>
      <c r="B5" s="28" t="str">
        <f>EvalSummary!$C$2</f>
        <v>Houston CSD</v>
      </c>
      <c r="C5" s="28">
        <f>EvalSummary!$C$4</f>
        <v>260018902</v>
      </c>
      <c r="D5" s="28">
        <f>EvalSummary!C17</f>
        <v>143036157</v>
      </c>
      <c r="E5" s="28" t="str">
        <f>EvalSummary!B17</f>
        <v>Lockstep</v>
      </c>
      <c r="F5" s="28" t="s">
        <v>41</v>
      </c>
      <c r="G5" s="77">
        <v>1</v>
      </c>
      <c r="H5" s="28">
        <v>0</v>
      </c>
      <c r="I5" s="28">
        <f>SUM((G5*$G$10)+(H5*$H$10))</f>
        <v>10</v>
      </c>
      <c r="J5" s="29">
        <f>IF(((I5/MAX($I$4:$I$8))*15)&lt;1,0,(I5/MAX($I$4:$I$8))*10)</f>
        <v>10</v>
      </c>
    </row>
    <row r="6" spans="1:10" ht="27" customHeight="1">
      <c r="A6" s="28">
        <f>EvalSummary!$C$3</f>
        <v>127444</v>
      </c>
      <c r="B6" s="28" t="str">
        <f>EvalSummary!$C$2</f>
        <v>Houston CSD</v>
      </c>
      <c r="C6" s="28">
        <f>EvalSummary!$C$4</f>
        <v>260018902</v>
      </c>
      <c r="D6" s="28">
        <f>EvalSummary!C18</f>
        <v>143037390</v>
      </c>
      <c r="E6" s="28" t="str">
        <f>EvalSummary!B18</f>
        <v>Invsion</v>
      </c>
      <c r="F6" s="28" t="s">
        <v>41</v>
      </c>
      <c r="G6" s="77">
        <v>1</v>
      </c>
      <c r="H6" s="28">
        <v>0</v>
      </c>
      <c r="I6" s="28">
        <f>SUM((G6*$G$10)+(H6*$H$10))</f>
        <v>10</v>
      </c>
      <c r="J6" s="29">
        <f>IF(((I6/MAX($I$4:$I$8))*15)&lt;1,0,(I6/MAX($I$4:$I$8))*10)</f>
        <v>10</v>
      </c>
    </row>
    <row r="7" spans="1:10" ht="27" customHeight="1">
      <c r="A7" s="28">
        <f>EvalSummary!$C$3</f>
        <v>127444</v>
      </c>
      <c r="B7" s="28" t="str">
        <f>EvalSummary!$C$2</f>
        <v>Houston CSD</v>
      </c>
      <c r="C7" s="28">
        <f>EvalSummary!$C$4</f>
        <v>260018902</v>
      </c>
      <c r="D7" s="28">
        <f>EvalSummary!C19</f>
        <v>143044080</v>
      </c>
      <c r="E7" s="28" t="str">
        <f>EvalSummary!B19</f>
        <v>Blueally</v>
      </c>
      <c r="F7" s="28" t="s">
        <v>41</v>
      </c>
      <c r="G7" s="77">
        <v>1</v>
      </c>
      <c r="H7" s="28">
        <v>1</v>
      </c>
      <c r="I7" s="28">
        <f>SUM((G7*$G$10)+(H7*$H$10))</f>
        <v>8</v>
      </c>
      <c r="J7" s="29">
        <f>IF(((I7/MAX($I$4:$I$8))*15)&lt;1,0,(I7/MAX($I$4:$I$8))*10)</f>
        <v>8</v>
      </c>
    </row>
    <row r="8" spans="1:10" ht="27" customHeight="1">
      <c r="A8" s="28">
        <f>EvalSummary!$C$3</f>
        <v>127444</v>
      </c>
      <c r="B8" s="28" t="str">
        <f>EvalSummary!$C$2</f>
        <v>Houston CSD</v>
      </c>
      <c r="C8" s="28">
        <f>EvalSummary!$C$4</f>
        <v>260018902</v>
      </c>
      <c r="D8" s="28">
        <f>EvalSummary!C20</f>
        <v>143055081</v>
      </c>
      <c r="E8" s="28" t="str">
        <f>EvalSummary!B20</f>
        <v>Leighton &amp; Alex</v>
      </c>
      <c r="F8" s="28" t="s">
        <v>41</v>
      </c>
      <c r="G8" s="77">
        <v>1</v>
      </c>
      <c r="H8" s="28">
        <v>0</v>
      </c>
      <c r="I8" s="28">
        <f>SUM((G8*$G$10)+(H8*$H$10))</f>
        <v>10</v>
      </c>
      <c r="J8" s="29">
        <f>IF(((I8/MAX($I$4:$I$8))*15)&lt;1,0,(I8/MAX($I$4:$I$8))*10)</f>
        <v>10</v>
      </c>
    </row>
    <row r="10" spans="1:10">
      <c r="F10" s="12" t="s">
        <v>23</v>
      </c>
      <c r="G10" s="11">
        <v>10</v>
      </c>
      <c r="H10" s="27">
        <v>-2</v>
      </c>
    </row>
  </sheetData>
  <mergeCells count="10">
    <mergeCell ref="J2:J3"/>
    <mergeCell ref="G2:G3"/>
    <mergeCell ref="H2:H3"/>
    <mergeCell ref="I2:I3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6594E-ECD4-453E-9EA5-ACF2A346FC49}">
  <sheetPr>
    <pageSetUpPr fitToPage="1"/>
  </sheetPr>
  <dimension ref="A1:T18"/>
  <sheetViews>
    <sheetView zoomScale="97" workbookViewId="0">
      <selection activeCell="A2" sqref="A2"/>
    </sheetView>
  </sheetViews>
  <sheetFormatPr defaultColWidth="10.875" defaultRowHeight="15.75"/>
  <cols>
    <col min="1" max="3" width="10.875" style="2"/>
    <col min="4" max="4" width="11.5" style="2" bestFit="1" customWidth="1"/>
    <col min="5" max="5" width="21.875" style="2" customWidth="1"/>
    <col min="6" max="6" width="8.625" style="2" customWidth="1"/>
    <col min="7" max="7" width="22.375" style="2" bestFit="1" customWidth="1"/>
    <col min="8" max="8" width="17.125" style="2" hidden="1" customWidth="1"/>
    <col min="9" max="9" width="25.625" style="2" bestFit="1" customWidth="1"/>
    <col min="10" max="10" width="15.125" style="2" customWidth="1"/>
    <col min="11" max="11" width="15.375" style="2" customWidth="1"/>
    <col min="12" max="12" width="15.5" style="2" customWidth="1"/>
    <col min="13" max="13" width="14.375" style="2" customWidth="1"/>
    <col min="14" max="16" width="10.875" style="2"/>
    <col min="17" max="18" width="16.5" style="2" customWidth="1"/>
    <col min="19" max="19" width="14.5" style="2" customWidth="1"/>
    <col min="20" max="20" width="10.875" style="3" hidden="1" customWidth="1"/>
    <col min="21" max="16384" width="10.875" style="3"/>
  </cols>
  <sheetData>
    <row r="1" spans="1:20" ht="36" customHeight="1">
      <c r="A1" s="58" t="s">
        <v>2</v>
      </c>
      <c r="B1" s="58" t="s">
        <v>3</v>
      </c>
      <c r="C1" s="58" t="s">
        <v>50</v>
      </c>
      <c r="D1" s="58" t="s">
        <v>5</v>
      </c>
      <c r="E1" s="58" t="s">
        <v>11</v>
      </c>
      <c r="F1" s="58" t="s">
        <v>12</v>
      </c>
      <c r="G1" s="59" t="s">
        <v>51</v>
      </c>
      <c r="H1" s="60" t="s">
        <v>13</v>
      </c>
      <c r="I1" s="60" t="s">
        <v>14</v>
      </c>
      <c r="J1" s="58"/>
      <c r="K1" s="58" t="s">
        <v>15</v>
      </c>
      <c r="L1" s="58" t="s">
        <v>17</v>
      </c>
      <c r="M1" s="58" t="s">
        <v>18</v>
      </c>
      <c r="N1" s="61" t="s">
        <v>16</v>
      </c>
      <c r="O1" s="7" t="s">
        <v>19</v>
      </c>
      <c r="P1" s="7" t="s">
        <v>20</v>
      </c>
      <c r="Q1" s="7" t="s">
        <v>36</v>
      </c>
      <c r="R1" s="7" t="s">
        <v>40</v>
      </c>
      <c r="S1" s="7" t="s">
        <v>39</v>
      </c>
      <c r="T1" s="7" t="s">
        <v>21</v>
      </c>
    </row>
    <row r="2" spans="1:20" s="5" customFormat="1" ht="27" customHeight="1">
      <c r="A2" s="28">
        <f>EvalSummary!$C$3</f>
        <v>127444</v>
      </c>
      <c r="B2" s="28" t="str">
        <f>EvalSummary!$C$2</f>
        <v>Houston CSD</v>
      </c>
      <c r="C2" s="28">
        <f>EvalSummary!$C$4</f>
        <v>260018902</v>
      </c>
      <c r="D2" s="28">
        <f>EvalSummary!C16</f>
        <v>143047939</v>
      </c>
      <c r="E2" s="28" t="str">
        <f>EvalSummary!B16</f>
        <v>AiOS</v>
      </c>
      <c r="F2" s="28" t="s">
        <v>41</v>
      </c>
      <c r="G2" s="30">
        <v>5590213.6099999985</v>
      </c>
      <c r="H2" s="30"/>
      <c r="I2" s="30">
        <v>5359045.29</v>
      </c>
      <c r="J2" s="30"/>
      <c r="K2" s="30">
        <f t="shared" ref="K2:K6" si="0">I2</f>
        <v>5359045.29</v>
      </c>
      <c r="L2" s="35">
        <v>1</v>
      </c>
      <c r="M2" s="36" cm="1">
        <f t="array" ref="M2">_xlfn.IFS(K2 &lt;= 100000, -2, K2 &lt;= 1000000, -1, K2 &lt;= 4000000, -0.5, K2 &lt;= 10000000, -0.25, K2 &gt; 10000000, 0)*L2</f>
        <v>-0.25</v>
      </c>
      <c r="N2" s="37">
        <f t="shared" ref="N2:N6" si="1">IFERROR(I2/G2,0)</f>
        <v>0.958647676792444</v>
      </c>
      <c r="O2" s="38">
        <v>1</v>
      </c>
      <c r="P2" s="31" cm="1">
        <f t="array" ref="P2">_xlfn.IFS(N2&lt;=0.2, 0, N2 &lt;= 0.5, 1, N2 &lt;= 0.75, 3, N2 &lt;= 0.8, 3.5, N2 &lt;= 0.9, 4, N2&gt;0.9, 5)</f>
        <v>5</v>
      </c>
      <c r="Q2" s="31">
        <v>0</v>
      </c>
      <c r="R2" s="31">
        <f t="shared" ref="R2:R6" si="2">M2+P2+Q2</f>
        <v>4.75</v>
      </c>
      <c r="S2" s="29">
        <f>(R2/MAX($R$2:$R$9))*10</f>
        <v>9.5</v>
      </c>
      <c r="T2" s="31"/>
    </row>
    <row r="3" spans="1:20" s="5" customFormat="1" ht="27" customHeight="1">
      <c r="A3" s="28">
        <f>EvalSummary!$C$3</f>
        <v>127444</v>
      </c>
      <c r="B3" s="28" t="str">
        <f>EvalSummary!$C$2</f>
        <v>Houston CSD</v>
      </c>
      <c r="C3" s="28">
        <f>EvalSummary!$C$4</f>
        <v>260018902</v>
      </c>
      <c r="D3" s="28">
        <f>EvalSummary!C17</f>
        <v>143036157</v>
      </c>
      <c r="E3" s="28" t="str">
        <f>EvalSummary!B17</f>
        <v>Lockstep</v>
      </c>
      <c r="F3" s="28" t="s">
        <v>41</v>
      </c>
      <c r="G3" s="30">
        <v>13653159.770000001</v>
      </c>
      <c r="H3" s="30"/>
      <c r="I3" s="30">
        <v>13143409.970000001</v>
      </c>
      <c r="J3" s="30"/>
      <c r="K3" s="30">
        <f t="shared" si="0"/>
        <v>13143409.970000001</v>
      </c>
      <c r="L3" s="35">
        <v>1</v>
      </c>
      <c r="M3" s="36" cm="1">
        <f t="array" ref="M3">_xlfn.IFS(K3 &lt;= 100000, -2, K3 &lt;= 1000000, -1, K3 &lt;= 4000000, -0.5, K3 &lt;= 10000000, -0.25, K3 &gt; 10000000, 0)*L3</f>
        <v>0</v>
      </c>
      <c r="N3" s="37">
        <f t="shared" si="1"/>
        <v>0.96266433495343173</v>
      </c>
      <c r="O3" s="38">
        <v>1</v>
      </c>
      <c r="P3" s="31" cm="1">
        <f t="array" ref="P3">_xlfn.IFS(N3&lt;=0.2, 0, N3 &lt;= 0.5, 1, N3 &lt;= 0.75, 3, N3 &lt;= 0.8, 3.5, N3 &lt;= 0.9, 4, N3&gt;0.9, 5)</f>
        <v>5</v>
      </c>
      <c r="Q3" s="31">
        <v>0</v>
      </c>
      <c r="R3" s="31">
        <f t="shared" si="2"/>
        <v>5</v>
      </c>
      <c r="S3" s="29">
        <f>(R3/MAX($R$2:$R$9))*10</f>
        <v>10</v>
      </c>
      <c r="T3" s="31"/>
    </row>
    <row r="4" spans="1:20" s="5" customFormat="1" ht="27" customHeight="1">
      <c r="A4" s="28">
        <f>EvalSummary!$C$3</f>
        <v>127444</v>
      </c>
      <c r="B4" s="28" t="str">
        <f>EvalSummary!$C$2</f>
        <v>Houston CSD</v>
      </c>
      <c r="C4" s="28">
        <f>EvalSummary!$C$4</f>
        <v>260018902</v>
      </c>
      <c r="D4" s="28">
        <f>EvalSummary!C18</f>
        <v>143037390</v>
      </c>
      <c r="E4" s="28" t="str">
        <f>EvalSummary!B18</f>
        <v>Invsion</v>
      </c>
      <c r="F4" s="28" t="s">
        <v>41</v>
      </c>
      <c r="G4" s="30">
        <v>14872.84</v>
      </c>
      <c r="H4" s="30"/>
      <c r="I4" s="30">
        <v>14872.84</v>
      </c>
      <c r="J4" s="30"/>
      <c r="K4" s="30">
        <f t="shared" si="0"/>
        <v>14872.84</v>
      </c>
      <c r="L4" s="35">
        <v>1</v>
      </c>
      <c r="M4" s="36" cm="1">
        <f t="array" ref="M4">_xlfn.IFS(K4 &lt;= 100000, -2, K4 &lt;= 1000000, -1, K4 &lt;= 4000000, -0.5, K4 &lt;= 10000000, -0.25, K4 &gt; 10000000, 0)*L4</f>
        <v>-2</v>
      </c>
      <c r="N4" s="37">
        <f t="shared" si="1"/>
        <v>1</v>
      </c>
      <c r="O4" s="38">
        <v>1</v>
      </c>
      <c r="P4" s="31" cm="1">
        <f t="array" ref="P4">_xlfn.IFS(N4&lt;=0.2, 0, N4 &lt;= 0.5, 1, N4 &lt;= 0.75, 3, N4 &lt;= 0.8, 3.5, N4 &lt;= 0.9, 4, N4&gt;0.9, 5)</f>
        <v>5</v>
      </c>
      <c r="Q4" s="31">
        <v>0</v>
      </c>
      <c r="R4" s="31">
        <f t="shared" si="2"/>
        <v>3</v>
      </c>
      <c r="S4" s="29">
        <f>(R4/MAX($R$2:$R$9))*10</f>
        <v>6</v>
      </c>
      <c r="T4" s="31"/>
    </row>
    <row r="5" spans="1:20" s="5" customFormat="1" ht="27" customHeight="1">
      <c r="A5" s="28">
        <f>EvalSummary!$C$3</f>
        <v>127444</v>
      </c>
      <c r="B5" s="28" t="str">
        <f>EvalSummary!$C$2</f>
        <v>Houston CSD</v>
      </c>
      <c r="C5" s="28">
        <f>EvalSummary!$C$4</f>
        <v>260018902</v>
      </c>
      <c r="D5" s="28">
        <f>EvalSummary!C19</f>
        <v>143044080</v>
      </c>
      <c r="E5" s="28" t="str">
        <f>EvalSummary!B19</f>
        <v>Blueally</v>
      </c>
      <c r="F5" s="28" t="s">
        <v>41</v>
      </c>
      <c r="G5" s="30">
        <v>2916584.0199999986</v>
      </c>
      <c r="H5" s="30"/>
      <c r="I5" s="30">
        <v>2596457.439999999</v>
      </c>
      <c r="J5" s="30"/>
      <c r="K5" s="30">
        <f t="shared" si="0"/>
        <v>2596457.439999999</v>
      </c>
      <c r="L5" s="35">
        <v>1</v>
      </c>
      <c r="M5" s="36" cm="1">
        <f t="array" ref="M5">_xlfn.IFS(K5 &lt;= 100000, -2, K5 &lt;= 1000000, -1, K5 &lt;= 4000000, -0.5, K5 &lt;= 10000000, -0.25, K5 &gt; 10000000, 0)*L5</f>
        <v>-0.5</v>
      </c>
      <c r="N5" s="37">
        <f t="shared" si="1"/>
        <v>0.89023920524669142</v>
      </c>
      <c r="O5" s="38">
        <v>1</v>
      </c>
      <c r="P5" s="31" cm="1">
        <f t="array" ref="P5">_xlfn.IFS(N5&lt;=0.2, 0, N5 &lt;= 0.5, 1, N5 &lt;= 0.75, 3, N5 &lt;= 0.8, 3.5, N5 &lt;= 0.9, 4, N5&gt;0.9, 5)</f>
        <v>4</v>
      </c>
      <c r="Q5" s="31">
        <v>0</v>
      </c>
      <c r="R5" s="31">
        <f t="shared" si="2"/>
        <v>3.5</v>
      </c>
      <c r="S5" s="29">
        <f>(R5/MAX($R$2:$R$9))*10</f>
        <v>7</v>
      </c>
      <c r="T5" s="31"/>
    </row>
    <row r="6" spans="1:20" s="5" customFormat="1" ht="27" customHeight="1">
      <c r="A6" s="28">
        <f>EvalSummary!$C$3</f>
        <v>127444</v>
      </c>
      <c r="B6" s="28" t="str">
        <f>EvalSummary!$C$2</f>
        <v>Houston CSD</v>
      </c>
      <c r="C6" s="28">
        <f>EvalSummary!$C$4</f>
        <v>260018902</v>
      </c>
      <c r="D6" s="28">
        <f>EvalSummary!C20</f>
        <v>143055081</v>
      </c>
      <c r="E6" s="28" t="str">
        <f>EvalSummary!B20</f>
        <v>Leighton &amp; Alex</v>
      </c>
      <c r="F6" s="28" t="s">
        <v>41</v>
      </c>
      <c r="G6" s="30">
        <v>0</v>
      </c>
      <c r="H6" s="30"/>
      <c r="I6" s="30">
        <v>0</v>
      </c>
      <c r="J6" s="30"/>
      <c r="K6" s="30">
        <f t="shared" si="0"/>
        <v>0</v>
      </c>
      <c r="L6" s="35">
        <v>1</v>
      </c>
      <c r="M6" s="36" cm="1">
        <f t="array" ref="M6">_xlfn.IFS(K6 &lt;= 100000, -2, K6 &lt;= 1000000, -1, K6 &lt;= 4000000, -0.5, K6 &lt;= 10000000, -0.25, K6 &gt; 10000000, 0)*L6</f>
        <v>-2</v>
      </c>
      <c r="N6" s="37">
        <f t="shared" si="1"/>
        <v>0</v>
      </c>
      <c r="O6" s="38">
        <v>1</v>
      </c>
      <c r="P6" s="31" cm="1">
        <f t="array" ref="P6">_xlfn.IFS(N6&lt;=0.2, 0, N6 &lt;= 0.5, 1, N6 &lt;= 0.75, 3, N6 &lt;= 0.8, 3.5, N6 &lt;= 0.9, 4, N6&gt;0.9, 5)</f>
        <v>0</v>
      </c>
      <c r="Q6" s="31">
        <v>0</v>
      </c>
      <c r="R6" s="31">
        <f t="shared" si="2"/>
        <v>-2</v>
      </c>
      <c r="S6" s="29">
        <v>0</v>
      </c>
      <c r="T6" s="31"/>
    </row>
    <row r="7" spans="1:20" ht="38.1" customHeight="1">
      <c r="A7" s="15"/>
      <c r="B7" s="15"/>
      <c r="C7" s="15"/>
      <c r="D7" s="15"/>
      <c r="E7" s="15"/>
      <c r="F7" s="15"/>
      <c r="G7" s="16"/>
      <c r="H7" s="16"/>
      <c r="I7" s="16"/>
      <c r="J7" s="16"/>
      <c r="K7" s="16"/>
      <c r="L7" s="20"/>
      <c r="M7" s="21"/>
      <c r="N7" s="22"/>
      <c r="O7" s="23"/>
      <c r="P7" s="17"/>
      <c r="Q7" s="17"/>
      <c r="R7" s="17"/>
      <c r="S7" s="24"/>
      <c r="T7" s="17"/>
    </row>
    <row r="8" spans="1:20">
      <c r="A8" s="3"/>
      <c r="B8" s="3"/>
      <c r="C8" s="3"/>
      <c r="D8" s="10" t="s">
        <v>49</v>
      </c>
      <c r="J8" s="40"/>
    </row>
    <row r="9" spans="1:20">
      <c r="J9" s="40"/>
      <c r="M9" s="21"/>
    </row>
    <row r="10" spans="1:20">
      <c r="J10" s="40"/>
    </row>
    <row r="11" spans="1:20">
      <c r="J11" s="40"/>
    </row>
    <row r="12" spans="1:20">
      <c r="J12" s="40"/>
    </row>
    <row r="13" spans="1:20">
      <c r="J13" s="40"/>
    </row>
    <row r="14" spans="1:20">
      <c r="J14" s="40"/>
    </row>
    <row r="15" spans="1:20">
      <c r="G15" s="8"/>
      <c r="H15" s="8"/>
      <c r="J15" s="40"/>
    </row>
    <row r="16" spans="1:20" s="2" customFormat="1">
      <c r="G16" s="8"/>
      <c r="H16" s="8"/>
      <c r="J16" s="40"/>
      <c r="T16" s="3"/>
    </row>
    <row r="17" spans="7:20" s="2" customFormat="1">
      <c r="G17" s="8"/>
      <c r="H17" s="9"/>
      <c r="T17" s="3"/>
    </row>
    <row r="18" spans="7:20" s="2" customFormat="1">
      <c r="G18" s="8"/>
      <c r="T18" s="3"/>
    </row>
  </sheetData>
  <printOptions horizontalCentered="1"/>
  <pageMargins left="0.25" right="0.25" top="0.75" bottom="0.75" header="0.3" footer="0.3"/>
  <pageSetup scale="4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FAE86-B034-4ED6-AB53-0CCEB15F7561}">
  <sheetPr filterMode="1"/>
  <dimension ref="A1:L113"/>
  <sheetViews>
    <sheetView workbookViewId="0">
      <pane xSplit="1" ySplit="1" topLeftCell="B95" activePane="bottomRight" state="frozen"/>
      <selection pane="topRight" activeCell="B1" sqref="B1"/>
      <selection pane="bottomLeft" activeCell="A2" sqref="A2"/>
      <selection pane="bottomRight" activeCell="I112" sqref="I112"/>
    </sheetView>
  </sheetViews>
  <sheetFormatPr defaultRowHeight="15.75"/>
  <cols>
    <col min="1" max="1" width="12.125" bestFit="1" customWidth="1"/>
    <col min="2" max="2" width="14" bestFit="1" customWidth="1"/>
    <col min="3" max="3" width="12.125" customWidth="1"/>
    <col min="4" max="4" width="21.375" bestFit="1" customWidth="1"/>
    <col min="5" max="5" width="10.625" bestFit="1" customWidth="1"/>
    <col min="6" max="6" width="20.875" bestFit="1" customWidth="1"/>
    <col min="7" max="7" width="10.25" style="51" bestFit="1" customWidth="1"/>
    <col min="9" max="9" width="11.625" bestFit="1" customWidth="1"/>
    <col min="10" max="10" width="8.125" style="52" bestFit="1" customWidth="1"/>
    <col min="11" max="11" width="35.375" customWidth="1"/>
    <col min="12" max="12" width="8.625" style="50"/>
  </cols>
  <sheetData>
    <row r="1" spans="1:12" s="49" customFormat="1" ht="30">
      <c r="A1" s="56" t="s">
        <v>55</v>
      </c>
      <c r="B1" s="56" t="s">
        <v>56</v>
      </c>
      <c r="C1" s="56" t="s">
        <v>66</v>
      </c>
      <c r="D1" s="56" t="s">
        <v>67</v>
      </c>
      <c r="E1" s="56" t="s">
        <v>57</v>
      </c>
      <c r="F1" s="56" t="s">
        <v>58</v>
      </c>
      <c r="G1" s="57" t="s">
        <v>59</v>
      </c>
      <c r="H1" s="56" t="s">
        <v>60</v>
      </c>
      <c r="I1" s="56" t="s">
        <v>61</v>
      </c>
      <c r="J1" s="55" t="s">
        <v>62</v>
      </c>
      <c r="K1" s="49" t="s">
        <v>63</v>
      </c>
      <c r="L1" s="49" t="s">
        <v>64</v>
      </c>
    </row>
    <row r="2" spans="1:12" s="69" customFormat="1" ht="12.75">
      <c r="A2" s="66" t="s">
        <v>68</v>
      </c>
      <c r="B2" s="66"/>
      <c r="C2" s="66">
        <v>1</v>
      </c>
      <c r="D2" s="66" t="s">
        <v>103</v>
      </c>
      <c r="E2" s="66" t="s">
        <v>76</v>
      </c>
      <c r="F2" s="66" t="s">
        <v>84</v>
      </c>
      <c r="G2" s="67">
        <v>0</v>
      </c>
      <c r="H2" s="66">
        <v>240</v>
      </c>
      <c r="I2" s="67">
        <f t="shared" ref="I2:I31" si="0">SUM(G2:G2)*H2</f>
        <v>0</v>
      </c>
      <c r="J2" s="68">
        <v>1</v>
      </c>
      <c r="L2" s="70" t="s">
        <v>65</v>
      </c>
    </row>
    <row r="3" spans="1:12" s="69" customFormat="1" ht="12.75">
      <c r="A3" s="72" t="s">
        <v>68</v>
      </c>
      <c r="B3" s="72"/>
      <c r="C3" s="72">
        <v>1</v>
      </c>
      <c r="D3" s="72"/>
      <c r="E3" s="72" t="s">
        <v>119</v>
      </c>
      <c r="F3" s="72" t="s">
        <v>109</v>
      </c>
      <c r="G3" s="73">
        <v>569.5</v>
      </c>
      <c r="H3" s="72">
        <v>240</v>
      </c>
      <c r="I3" s="73">
        <f t="shared" si="0"/>
        <v>136680</v>
      </c>
      <c r="J3" s="74">
        <v>1</v>
      </c>
      <c r="K3" s="75" t="s">
        <v>119</v>
      </c>
      <c r="L3" s="76" t="s">
        <v>69</v>
      </c>
    </row>
    <row r="4" spans="1:12" s="69" customFormat="1" ht="12.75">
      <c r="A4" s="66" t="s">
        <v>68</v>
      </c>
      <c r="B4" s="66"/>
      <c r="C4" s="66">
        <v>2</v>
      </c>
      <c r="D4" s="66" t="s">
        <v>70</v>
      </c>
      <c r="E4" s="66" t="s">
        <v>76</v>
      </c>
      <c r="F4" s="66" t="s">
        <v>85</v>
      </c>
      <c r="G4" s="67">
        <v>0</v>
      </c>
      <c r="H4" s="66">
        <v>240</v>
      </c>
      <c r="I4" s="67">
        <f t="shared" si="0"/>
        <v>0</v>
      </c>
      <c r="J4" s="68">
        <v>1</v>
      </c>
      <c r="L4" s="70" t="s">
        <v>65</v>
      </c>
    </row>
    <row r="5" spans="1:12" s="69" customFormat="1" ht="12.75">
      <c r="A5" s="72" t="s">
        <v>68</v>
      </c>
      <c r="B5" s="72"/>
      <c r="C5" s="72">
        <v>2</v>
      </c>
      <c r="D5" s="72"/>
      <c r="E5" s="72" t="s">
        <v>119</v>
      </c>
      <c r="F5" s="72" t="s">
        <v>110</v>
      </c>
      <c r="G5" s="73">
        <v>310</v>
      </c>
      <c r="H5" s="72">
        <v>240</v>
      </c>
      <c r="I5" s="73">
        <f t="shared" si="0"/>
        <v>74400</v>
      </c>
      <c r="J5" s="74">
        <v>1</v>
      </c>
      <c r="K5" s="75" t="s">
        <v>119</v>
      </c>
      <c r="L5" s="76" t="s">
        <v>69</v>
      </c>
    </row>
    <row r="6" spans="1:12" s="69" customFormat="1" ht="12.75">
      <c r="A6" s="66" t="s">
        <v>68</v>
      </c>
      <c r="B6" s="66"/>
      <c r="C6" s="66">
        <v>3</v>
      </c>
      <c r="D6" s="66" t="s">
        <v>77</v>
      </c>
      <c r="E6" s="66" t="s">
        <v>76</v>
      </c>
      <c r="F6" s="66" t="s">
        <v>86</v>
      </c>
      <c r="G6" s="67">
        <v>0</v>
      </c>
      <c r="H6" s="66">
        <v>25</v>
      </c>
      <c r="I6" s="67">
        <f t="shared" si="0"/>
        <v>0</v>
      </c>
      <c r="J6" s="68">
        <v>1</v>
      </c>
      <c r="L6" s="70" t="s">
        <v>65</v>
      </c>
    </row>
    <row r="7" spans="1:12" s="69" customFormat="1" ht="12.75">
      <c r="A7" s="72" t="s">
        <v>68</v>
      </c>
      <c r="B7" s="72"/>
      <c r="C7" s="72">
        <v>3</v>
      </c>
      <c r="D7" s="72"/>
      <c r="E7" s="72" t="s">
        <v>119</v>
      </c>
      <c r="F7" s="72" t="s">
        <v>111</v>
      </c>
      <c r="G7" s="73">
        <v>6808</v>
      </c>
      <c r="H7" s="72">
        <v>25</v>
      </c>
      <c r="I7" s="73">
        <f t="shared" si="0"/>
        <v>170200</v>
      </c>
      <c r="J7" s="74">
        <v>1</v>
      </c>
      <c r="K7" s="75" t="s">
        <v>119</v>
      </c>
      <c r="L7" s="76" t="s">
        <v>69</v>
      </c>
    </row>
    <row r="8" spans="1:12" s="69" customFormat="1" ht="12.75">
      <c r="A8" s="66" t="s">
        <v>68</v>
      </c>
      <c r="B8" s="66"/>
      <c r="C8" s="66">
        <v>4</v>
      </c>
      <c r="D8" s="66" t="s">
        <v>70</v>
      </c>
      <c r="E8" s="66" t="s">
        <v>76</v>
      </c>
      <c r="F8" s="66" t="s">
        <v>85</v>
      </c>
      <c r="G8" s="67">
        <v>0</v>
      </c>
      <c r="H8" s="66">
        <v>25</v>
      </c>
      <c r="I8" s="67">
        <f t="shared" si="0"/>
        <v>0</v>
      </c>
      <c r="J8" s="68">
        <v>1</v>
      </c>
      <c r="L8" s="70" t="s">
        <v>65</v>
      </c>
    </row>
    <row r="9" spans="1:12" s="69" customFormat="1" ht="12.75">
      <c r="A9" s="72" t="s">
        <v>68</v>
      </c>
      <c r="B9" s="72"/>
      <c r="C9" s="72">
        <v>4</v>
      </c>
      <c r="D9" s="72"/>
      <c r="E9" s="72" t="s">
        <v>119</v>
      </c>
      <c r="F9" s="72" t="s">
        <v>112</v>
      </c>
      <c r="G9" s="73">
        <v>1740.5</v>
      </c>
      <c r="H9" s="72">
        <v>25</v>
      </c>
      <c r="I9" s="73">
        <f t="shared" si="0"/>
        <v>43512.5</v>
      </c>
      <c r="J9" s="74">
        <v>1</v>
      </c>
      <c r="K9" s="75" t="s">
        <v>119</v>
      </c>
      <c r="L9" s="76" t="s">
        <v>69</v>
      </c>
    </row>
    <row r="10" spans="1:12" s="69" customFormat="1" ht="12.75">
      <c r="A10" s="66" t="s">
        <v>68</v>
      </c>
      <c r="B10" s="66"/>
      <c r="C10" s="66">
        <v>5</v>
      </c>
      <c r="D10" s="66" t="s">
        <v>77</v>
      </c>
      <c r="E10" s="66" t="s">
        <v>76</v>
      </c>
      <c r="F10" s="66" t="s">
        <v>87</v>
      </c>
      <c r="G10" s="67">
        <v>0</v>
      </c>
      <c r="H10" s="66">
        <v>20</v>
      </c>
      <c r="I10" s="67">
        <f t="shared" si="0"/>
        <v>0</v>
      </c>
      <c r="J10" s="68">
        <v>1</v>
      </c>
      <c r="L10" s="70" t="s">
        <v>65</v>
      </c>
    </row>
    <row r="11" spans="1:12" s="69" customFormat="1" ht="12.75">
      <c r="A11" s="72" t="s">
        <v>68</v>
      </c>
      <c r="B11" s="72"/>
      <c r="C11" s="72">
        <v>5</v>
      </c>
      <c r="D11" s="72"/>
      <c r="E11" s="72" t="s">
        <v>119</v>
      </c>
      <c r="F11" s="72" t="s">
        <v>113</v>
      </c>
      <c r="G11" s="73">
        <v>9612</v>
      </c>
      <c r="H11" s="72">
        <v>20</v>
      </c>
      <c r="I11" s="73">
        <f t="shared" si="0"/>
        <v>192240</v>
      </c>
      <c r="J11" s="74">
        <v>1</v>
      </c>
      <c r="K11" s="75" t="s">
        <v>119</v>
      </c>
      <c r="L11" s="76" t="s">
        <v>69</v>
      </c>
    </row>
    <row r="12" spans="1:12" s="69" customFormat="1" ht="12.75">
      <c r="A12" s="66" t="s">
        <v>68</v>
      </c>
      <c r="B12" s="66"/>
      <c r="C12" s="66">
        <v>6</v>
      </c>
      <c r="D12" s="66" t="s">
        <v>77</v>
      </c>
      <c r="E12" s="66" t="s">
        <v>76</v>
      </c>
      <c r="F12" s="66" t="s">
        <v>88</v>
      </c>
      <c r="G12" s="67">
        <v>0</v>
      </c>
      <c r="H12" s="66">
        <v>4</v>
      </c>
      <c r="I12" s="67">
        <f t="shared" si="0"/>
        <v>0</v>
      </c>
      <c r="J12" s="68">
        <v>1</v>
      </c>
      <c r="L12" s="70" t="s">
        <v>65</v>
      </c>
    </row>
    <row r="13" spans="1:12" s="69" customFormat="1" ht="12.75">
      <c r="A13" s="72" t="s">
        <v>68</v>
      </c>
      <c r="B13" s="72"/>
      <c r="C13" s="72">
        <v>6</v>
      </c>
      <c r="D13" s="72"/>
      <c r="E13" s="72" t="s">
        <v>119</v>
      </c>
      <c r="F13" s="72" t="s">
        <v>113</v>
      </c>
      <c r="G13" s="73">
        <v>9612</v>
      </c>
      <c r="H13" s="72">
        <v>4</v>
      </c>
      <c r="I13" s="73">
        <f t="shared" si="0"/>
        <v>38448</v>
      </c>
      <c r="J13" s="74">
        <v>1</v>
      </c>
      <c r="K13" s="75" t="s">
        <v>119</v>
      </c>
      <c r="L13" s="76" t="s">
        <v>69</v>
      </c>
    </row>
    <row r="14" spans="1:12" s="69" customFormat="1" ht="12.75">
      <c r="A14" s="66" t="s">
        <v>68</v>
      </c>
      <c r="B14" s="66"/>
      <c r="C14" s="66">
        <v>7</v>
      </c>
      <c r="D14" s="66" t="s">
        <v>70</v>
      </c>
      <c r="E14" s="66" t="s">
        <v>76</v>
      </c>
      <c r="F14" s="66" t="s">
        <v>85</v>
      </c>
      <c r="G14" s="67">
        <v>0</v>
      </c>
      <c r="H14" s="66">
        <v>24</v>
      </c>
      <c r="I14" s="67">
        <f t="shared" si="0"/>
        <v>0</v>
      </c>
      <c r="J14" s="68">
        <v>1</v>
      </c>
      <c r="L14" s="70" t="s">
        <v>65</v>
      </c>
    </row>
    <row r="15" spans="1:12" s="69" customFormat="1" ht="12.75">
      <c r="A15" s="72" t="s">
        <v>68</v>
      </c>
      <c r="B15" s="72"/>
      <c r="C15" s="72">
        <v>7</v>
      </c>
      <c r="D15" s="72"/>
      <c r="E15" s="72" t="s">
        <v>119</v>
      </c>
      <c r="F15" s="72" t="s">
        <v>112</v>
      </c>
      <c r="G15" s="73">
        <v>1740.5</v>
      </c>
      <c r="H15" s="72">
        <v>24</v>
      </c>
      <c r="I15" s="73">
        <f t="shared" si="0"/>
        <v>41772</v>
      </c>
      <c r="J15" s="74">
        <v>1</v>
      </c>
      <c r="K15" s="75" t="s">
        <v>119</v>
      </c>
      <c r="L15" s="76" t="s">
        <v>69</v>
      </c>
    </row>
    <row r="16" spans="1:12" s="69" customFormat="1" ht="12.75">
      <c r="A16" s="66" t="s">
        <v>68</v>
      </c>
      <c r="B16" s="66"/>
      <c r="C16" s="66">
        <v>8</v>
      </c>
      <c r="D16" s="66" t="s">
        <v>100</v>
      </c>
      <c r="E16" s="66" t="s">
        <v>76</v>
      </c>
      <c r="F16" s="66" t="s">
        <v>89</v>
      </c>
      <c r="G16" s="67">
        <v>0</v>
      </c>
      <c r="H16" s="66">
        <v>24</v>
      </c>
      <c r="I16" s="67">
        <f t="shared" si="0"/>
        <v>0</v>
      </c>
      <c r="J16" s="68">
        <v>1</v>
      </c>
      <c r="L16" s="70" t="s">
        <v>65</v>
      </c>
    </row>
    <row r="17" spans="1:12" s="69" customFormat="1" ht="12.75">
      <c r="A17" s="66" t="s">
        <v>68</v>
      </c>
      <c r="B17" s="66"/>
      <c r="C17" s="66">
        <v>9</v>
      </c>
      <c r="D17" s="66" t="s">
        <v>90</v>
      </c>
      <c r="E17" s="66" t="s">
        <v>76</v>
      </c>
      <c r="F17" s="66" t="s">
        <v>115</v>
      </c>
      <c r="G17" s="67">
        <v>0</v>
      </c>
      <c r="H17" s="66">
        <v>2</v>
      </c>
      <c r="I17" s="67">
        <f t="shared" si="0"/>
        <v>0</v>
      </c>
      <c r="J17" s="68">
        <v>1</v>
      </c>
      <c r="L17" s="70" t="s">
        <v>65</v>
      </c>
    </row>
    <row r="18" spans="1:12" s="69" customFormat="1" ht="12.75">
      <c r="A18" s="72" t="s">
        <v>68</v>
      </c>
      <c r="B18" s="72"/>
      <c r="C18" s="72">
        <v>9</v>
      </c>
      <c r="D18" s="72"/>
      <c r="E18" s="72" t="s">
        <v>119</v>
      </c>
      <c r="F18" s="72" t="s">
        <v>114</v>
      </c>
      <c r="G18" s="73">
        <v>145.5</v>
      </c>
      <c r="H18" s="72">
        <v>2</v>
      </c>
      <c r="I18" s="73">
        <f t="shared" si="0"/>
        <v>291</v>
      </c>
      <c r="J18" s="74">
        <v>1</v>
      </c>
      <c r="K18" s="75" t="s">
        <v>119</v>
      </c>
      <c r="L18" s="76" t="s">
        <v>69</v>
      </c>
    </row>
    <row r="19" spans="1:12" s="69" customFormat="1" ht="12.75">
      <c r="A19" s="66" t="s">
        <v>68</v>
      </c>
      <c r="B19" s="66"/>
      <c r="C19" s="66">
        <v>10</v>
      </c>
      <c r="D19" s="66" t="s">
        <v>101</v>
      </c>
      <c r="E19" s="66" t="s">
        <v>76</v>
      </c>
      <c r="F19" s="66" t="s">
        <v>91</v>
      </c>
      <c r="G19" s="67">
        <v>0</v>
      </c>
      <c r="H19" s="66">
        <v>4</v>
      </c>
      <c r="I19" s="67">
        <f t="shared" si="0"/>
        <v>0</v>
      </c>
      <c r="J19" s="68">
        <v>1</v>
      </c>
      <c r="L19" s="70" t="s">
        <v>65</v>
      </c>
    </row>
    <row r="20" spans="1:12" s="69" customFormat="1" ht="12.75">
      <c r="A20" s="72" t="s">
        <v>68</v>
      </c>
      <c r="B20" s="72"/>
      <c r="C20" s="72">
        <v>10</v>
      </c>
      <c r="D20" s="72"/>
      <c r="E20" s="72" t="s">
        <v>119</v>
      </c>
      <c r="F20" s="72" t="s">
        <v>116</v>
      </c>
      <c r="G20" s="73">
        <v>1895</v>
      </c>
      <c r="H20" s="72">
        <v>4</v>
      </c>
      <c r="I20" s="73">
        <f t="shared" si="0"/>
        <v>7580</v>
      </c>
      <c r="J20" s="74">
        <v>1</v>
      </c>
      <c r="K20" s="75" t="s">
        <v>119</v>
      </c>
      <c r="L20" s="76" t="s">
        <v>69</v>
      </c>
    </row>
    <row r="21" spans="1:12" s="69" customFormat="1" ht="12.75" hidden="1">
      <c r="A21" s="66" t="s">
        <v>68</v>
      </c>
      <c r="B21" s="66"/>
      <c r="C21" s="66">
        <v>11</v>
      </c>
      <c r="D21" s="66" t="s">
        <v>103</v>
      </c>
      <c r="E21" s="66" t="s">
        <v>76</v>
      </c>
      <c r="F21" s="66" t="s">
        <v>92</v>
      </c>
      <c r="G21" s="67">
        <v>0</v>
      </c>
      <c r="H21" s="66">
        <v>10</v>
      </c>
      <c r="I21" s="67">
        <f t="shared" si="0"/>
        <v>0</v>
      </c>
      <c r="J21" s="68">
        <v>1</v>
      </c>
      <c r="L21" s="70" t="s">
        <v>102</v>
      </c>
    </row>
    <row r="22" spans="1:12" s="69" customFormat="1" ht="12.75" hidden="1">
      <c r="A22" s="72" t="s">
        <v>68</v>
      </c>
      <c r="B22" s="72"/>
      <c r="C22" s="72">
        <v>11</v>
      </c>
      <c r="D22" s="72"/>
      <c r="E22" s="72" t="s">
        <v>119</v>
      </c>
      <c r="F22" s="72">
        <v>91741</v>
      </c>
      <c r="G22" s="73">
        <v>853</v>
      </c>
      <c r="H22" s="72">
        <v>10</v>
      </c>
      <c r="I22" s="73">
        <f t="shared" si="0"/>
        <v>8530</v>
      </c>
      <c r="J22" s="74">
        <v>1</v>
      </c>
      <c r="K22" s="75" t="s">
        <v>119</v>
      </c>
      <c r="L22" s="76" t="s">
        <v>120</v>
      </c>
    </row>
    <row r="23" spans="1:12" s="69" customFormat="1" ht="12.75" hidden="1">
      <c r="A23" s="66" t="s">
        <v>68</v>
      </c>
      <c r="B23" s="66"/>
      <c r="C23" s="66">
        <v>12</v>
      </c>
      <c r="D23" s="66" t="s">
        <v>103</v>
      </c>
      <c r="E23" s="66" t="s">
        <v>76</v>
      </c>
      <c r="F23" s="66" t="s">
        <v>93</v>
      </c>
      <c r="G23" s="67">
        <v>0</v>
      </c>
      <c r="H23" s="66">
        <v>50</v>
      </c>
      <c r="I23" s="67">
        <f t="shared" si="0"/>
        <v>0</v>
      </c>
      <c r="J23" s="68">
        <v>1</v>
      </c>
      <c r="L23" s="70" t="s">
        <v>102</v>
      </c>
    </row>
    <row r="24" spans="1:12" s="69" customFormat="1" ht="12.75" hidden="1">
      <c r="A24" s="72" t="s">
        <v>68</v>
      </c>
      <c r="B24" s="72"/>
      <c r="C24" s="72">
        <v>12</v>
      </c>
      <c r="D24" s="72"/>
      <c r="E24" s="72" t="s">
        <v>119</v>
      </c>
      <c r="F24" s="72">
        <v>91721</v>
      </c>
      <c r="G24" s="73">
        <v>569.5</v>
      </c>
      <c r="H24" s="72">
        <v>50</v>
      </c>
      <c r="I24" s="73">
        <f t="shared" si="0"/>
        <v>28475</v>
      </c>
      <c r="J24" s="74">
        <v>1</v>
      </c>
      <c r="K24" s="75" t="s">
        <v>119</v>
      </c>
      <c r="L24" s="76" t="s">
        <v>120</v>
      </c>
    </row>
    <row r="25" spans="1:12" s="69" customFormat="1" ht="12.75" hidden="1">
      <c r="A25" s="66" t="s">
        <v>68</v>
      </c>
      <c r="B25" s="66"/>
      <c r="C25" s="66">
        <v>13</v>
      </c>
      <c r="D25" s="66" t="s">
        <v>95</v>
      </c>
      <c r="E25" s="66" t="s">
        <v>76</v>
      </c>
      <c r="F25" s="66" t="s">
        <v>94</v>
      </c>
      <c r="G25" s="67">
        <v>0</v>
      </c>
      <c r="H25" s="66">
        <v>50</v>
      </c>
      <c r="I25" s="67">
        <f t="shared" si="0"/>
        <v>0</v>
      </c>
      <c r="J25" s="68">
        <v>1</v>
      </c>
      <c r="L25" s="70" t="s">
        <v>102</v>
      </c>
    </row>
    <row r="26" spans="1:12" s="69" customFormat="1" ht="12.75" hidden="1">
      <c r="A26" s="66" t="s">
        <v>68</v>
      </c>
      <c r="B26" s="66"/>
      <c r="C26" s="66">
        <v>14</v>
      </c>
      <c r="D26" s="66" t="s">
        <v>95</v>
      </c>
      <c r="E26" s="66" t="s">
        <v>76</v>
      </c>
      <c r="F26" s="66" t="s">
        <v>96</v>
      </c>
      <c r="G26" s="67">
        <v>0</v>
      </c>
      <c r="H26" s="66">
        <v>50</v>
      </c>
      <c r="I26" s="67">
        <f t="shared" si="0"/>
        <v>0</v>
      </c>
      <c r="J26" s="68">
        <v>1</v>
      </c>
      <c r="L26" s="70" t="s">
        <v>102</v>
      </c>
    </row>
    <row r="27" spans="1:12" s="69" customFormat="1" ht="12.75" hidden="1">
      <c r="A27" s="66" t="s">
        <v>68</v>
      </c>
      <c r="B27" s="66"/>
      <c r="C27" s="66">
        <v>15</v>
      </c>
      <c r="D27" s="66" t="s">
        <v>95</v>
      </c>
      <c r="E27" s="66" t="s">
        <v>76</v>
      </c>
      <c r="F27" s="66" t="s">
        <v>97</v>
      </c>
      <c r="G27" s="67">
        <v>0</v>
      </c>
      <c r="H27" s="66">
        <v>50</v>
      </c>
      <c r="I27" s="67">
        <f t="shared" si="0"/>
        <v>0</v>
      </c>
      <c r="J27" s="68">
        <v>1</v>
      </c>
      <c r="L27" s="70" t="s">
        <v>102</v>
      </c>
    </row>
    <row r="28" spans="1:12" s="69" customFormat="1" ht="12.75" hidden="1">
      <c r="A28" s="66" t="s">
        <v>68</v>
      </c>
      <c r="B28" s="66"/>
      <c r="C28" s="66">
        <v>16</v>
      </c>
      <c r="D28" s="66" t="s">
        <v>103</v>
      </c>
      <c r="E28" s="66" t="s">
        <v>76</v>
      </c>
      <c r="F28" s="66" t="s">
        <v>99</v>
      </c>
      <c r="G28" s="67">
        <v>0</v>
      </c>
      <c r="H28" s="66">
        <v>50</v>
      </c>
      <c r="I28" s="67">
        <f t="shared" si="0"/>
        <v>0</v>
      </c>
      <c r="J28" s="68">
        <v>1</v>
      </c>
      <c r="L28" s="70" t="s">
        <v>102</v>
      </c>
    </row>
    <row r="29" spans="1:12" s="69" customFormat="1" ht="12.75" hidden="1">
      <c r="A29" s="72" t="s">
        <v>68</v>
      </c>
      <c r="B29" s="72"/>
      <c r="C29" s="72">
        <v>16</v>
      </c>
      <c r="D29" s="72"/>
      <c r="E29" s="72" t="s">
        <v>119</v>
      </c>
      <c r="F29" s="72" t="s">
        <v>117</v>
      </c>
      <c r="G29" s="73">
        <v>980</v>
      </c>
      <c r="H29" s="72">
        <v>50</v>
      </c>
      <c r="I29" s="73">
        <f t="shared" si="0"/>
        <v>49000</v>
      </c>
      <c r="J29" s="74"/>
      <c r="K29" s="75" t="s">
        <v>119</v>
      </c>
      <c r="L29" s="76" t="s">
        <v>120</v>
      </c>
    </row>
    <row r="30" spans="1:12" s="69" customFormat="1" ht="12.75" hidden="1">
      <c r="A30" s="66" t="s">
        <v>68</v>
      </c>
      <c r="B30" s="66"/>
      <c r="C30" s="66">
        <v>17</v>
      </c>
      <c r="D30" s="66" t="s">
        <v>100</v>
      </c>
      <c r="E30" s="66" t="s">
        <v>76</v>
      </c>
      <c r="F30" s="66" t="s">
        <v>98</v>
      </c>
      <c r="G30" s="67">
        <v>0</v>
      </c>
      <c r="H30" s="66">
        <v>50</v>
      </c>
      <c r="I30" s="67">
        <f t="shared" si="0"/>
        <v>0</v>
      </c>
      <c r="J30" s="68">
        <v>1</v>
      </c>
      <c r="L30" s="70" t="s">
        <v>102</v>
      </c>
    </row>
    <row r="31" spans="1:12" s="69" customFormat="1" ht="12.75" hidden="1">
      <c r="A31" s="72" t="s">
        <v>68</v>
      </c>
      <c r="B31" s="72"/>
      <c r="C31" s="72">
        <v>17</v>
      </c>
      <c r="D31" s="72" t="s">
        <v>95</v>
      </c>
      <c r="E31" s="72" t="s">
        <v>119</v>
      </c>
      <c r="F31" s="72" t="s">
        <v>118</v>
      </c>
      <c r="G31" s="73">
        <v>103</v>
      </c>
      <c r="H31" s="72">
        <v>50</v>
      </c>
      <c r="I31" s="73">
        <f t="shared" si="0"/>
        <v>5150</v>
      </c>
      <c r="J31" s="74"/>
      <c r="K31" s="75" t="s">
        <v>119</v>
      </c>
      <c r="L31" s="76" t="s">
        <v>120</v>
      </c>
    </row>
    <row r="32" spans="1:12" s="69" customFormat="1" ht="12.75">
      <c r="A32" s="66" t="s">
        <v>121</v>
      </c>
      <c r="B32" s="66"/>
      <c r="C32" s="66"/>
      <c r="D32" s="66" t="s">
        <v>103</v>
      </c>
      <c r="E32" s="66" t="s">
        <v>76</v>
      </c>
      <c r="F32" s="66" t="s">
        <v>84</v>
      </c>
      <c r="G32" s="67">
        <v>0</v>
      </c>
      <c r="H32" s="66">
        <v>240</v>
      </c>
      <c r="I32" s="67">
        <f t="shared" ref="I32:I58" si="1">SUM(G32:G32)*H32</f>
        <v>0</v>
      </c>
      <c r="J32" s="68">
        <v>1</v>
      </c>
      <c r="L32" s="70" t="s">
        <v>65</v>
      </c>
    </row>
    <row r="33" spans="1:12" s="69" customFormat="1" ht="12.75">
      <c r="A33" s="72" t="s">
        <v>121</v>
      </c>
      <c r="B33" s="72"/>
      <c r="C33" s="72"/>
      <c r="D33" s="72" t="s">
        <v>103</v>
      </c>
      <c r="E33" s="72"/>
      <c r="F33" s="72" t="s">
        <v>122</v>
      </c>
      <c r="G33" s="73">
        <v>252.58</v>
      </c>
      <c r="H33" s="72">
        <v>240</v>
      </c>
      <c r="I33" s="73">
        <f t="shared" si="1"/>
        <v>60619.200000000004</v>
      </c>
      <c r="J33" s="74">
        <v>1</v>
      </c>
      <c r="K33" s="75" t="s">
        <v>128</v>
      </c>
      <c r="L33" s="76" t="s">
        <v>69</v>
      </c>
    </row>
    <row r="34" spans="1:12" s="69" customFormat="1" ht="12.75">
      <c r="A34" s="66" t="s">
        <v>121</v>
      </c>
      <c r="B34" s="66"/>
      <c r="C34" s="66"/>
      <c r="D34" s="66" t="s">
        <v>70</v>
      </c>
      <c r="E34" s="66" t="s">
        <v>76</v>
      </c>
      <c r="F34" s="66" t="s">
        <v>85</v>
      </c>
      <c r="G34" s="67">
        <v>0</v>
      </c>
      <c r="H34" s="66">
        <v>240</v>
      </c>
      <c r="I34" s="67">
        <f t="shared" si="1"/>
        <v>0</v>
      </c>
      <c r="J34" s="68">
        <v>1</v>
      </c>
      <c r="L34" s="70" t="s">
        <v>65</v>
      </c>
    </row>
    <row r="35" spans="1:12" s="69" customFormat="1" ht="12.75">
      <c r="A35" s="72" t="s">
        <v>121</v>
      </c>
      <c r="B35" s="72"/>
      <c r="C35" s="72"/>
      <c r="D35" s="72" t="s">
        <v>70</v>
      </c>
      <c r="E35" s="72"/>
      <c r="F35" s="72" t="s">
        <v>123</v>
      </c>
      <c r="G35" s="73">
        <v>343.04</v>
      </c>
      <c r="H35" s="72">
        <v>240</v>
      </c>
      <c r="I35" s="73">
        <f t="shared" si="1"/>
        <v>82329.600000000006</v>
      </c>
      <c r="J35" s="74">
        <v>1</v>
      </c>
      <c r="K35" s="75" t="s">
        <v>128</v>
      </c>
      <c r="L35" s="76" t="s">
        <v>69</v>
      </c>
    </row>
    <row r="36" spans="1:12" s="69" customFormat="1" ht="12.75">
      <c r="A36" s="66" t="s">
        <v>121</v>
      </c>
      <c r="B36" s="66"/>
      <c r="C36" s="66"/>
      <c r="D36" s="66" t="s">
        <v>77</v>
      </c>
      <c r="E36" s="66" t="s">
        <v>76</v>
      </c>
      <c r="F36" s="66" t="s">
        <v>86</v>
      </c>
      <c r="G36" s="67">
        <v>0</v>
      </c>
      <c r="H36" s="66">
        <v>25</v>
      </c>
      <c r="I36" s="67">
        <f t="shared" si="1"/>
        <v>0</v>
      </c>
      <c r="J36" s="68">
        <v>1</v>
      </c>
      <c r="L36" s="70" t="s">
        <v>65</v>
      </c>
    </row>
    <row r="37" spans="1:12" s="69" customFormat="1" ht="12.75">
      <c r="A37" s="72" t="s">
        <v>121</v>
      </c>
      <c r="B37" s="72"/>
      <c r="C37" s="72"/>
      <c r="D37" s="72" t="s">
        <v>77</v>
      </c>
      <c r="E37" s="72"/>
      <c r="F37" s="72" t="s">
        <v>124</v>
      </c>
      <c r="G37" s="73">
        <v>1511.27</v>
      </c>
      <c r="H37" s="72">
        <v>25</v>
      </c>
      <c r="I37" s="73">
        <f t="shared" si="1"/>
        <v>37781.75</v>
      </c>
      <c r="J37" s="74">
        <v>1</v>
      </c>
      <c r="K37" s="75" t="s">
        <v>128</v>
      </c>
      <c r="L37" s="76" t="s">
        <v>69</v>
      </c>
    </row>
    <row r="38" spans="1:12" s="69" customFormat="1" ht="12.75">
      <c r="A38" s="66" t="s">
        <v>121</v>
      </c>
      <c r="B38" s="66"/>
      <c r="C38" s="66"/>
      <c r="D38" s="66" t="s">
        <v>70</v>
      </c>
      <c r="E38" s="66" t="s">
        <v>76</v>
      </c>
      <c r="F38" s="66" t="s">
        <v>85</v>
      </c>
      <c r="G38" s="67">
        <v>0</v>
      </c>
      <c r="H38" s="66">
        <v>25</v>
      </c>
      <c r="I38" s="67">
        <f t="shared" si="1"/>
        <v>0</v>
      </c>
      <c r="J38" s="68">
        <v>1</v>
      </c>
      <c r="L38" s="70" t="s">
        <v>65</v>
      </c>
    </row>
    <row r="39" spans="1:12" s="69" customFormat="1" ht="12.75">
      <c r="A39" s="72" t="s">
        <v>121</v>
      </c>
      <c r="B39" s="72"/>
      <c r="C39" s="72"/>
      <c r="D39" s="72" t="s">
        <v>70</v>
      </c>
      <c r="E39" s="72"/>
      <c r="F39" s="72" t="s">
        <v>125</v>
      </c>
      <c r="G39" s="73">
        <v>279.82</v>
      </c>
      <c r="H39" s="72">
        <v>25</v>
      </c>
      <c r="I39" s="73">
        <f t="shared" si="1"/>
        <v>6995.5</v>
      </c>
      <c r="J39" s="74">
        <v>1</v>
      </c>
      <c r="K39" s="75" t="s">
        <v>128</v>
      </c>
      <c r="L39" s="76" t="s">
        <v>69</v>
      </c>
    </row>
    <row r="40" spans="1:12" s="69" customFormat="1" ht="12.75">
      <c r="A40" s="66" t="s">
        <v>121</v>
      </c>
      <c r="B40" s="66"/>
      <c r="C40" s="66"/>
      <c r="D40" s="66" t="s">
        <v>77</v>
      </c>
      <c r="E40" s="66" t="s">
        <v>76</v>
      </c>
      <c r="F40" s="66" t="s">
        <v>87</v>
      </c>
      <c r="G40" s="67">
        <v>0</v>
      </c>
      <c r="H40" s="66">
        <v>20</v>
      </c>
      <c r="I40" s="67">
        <f t="shared" si="1"/>
        <v>0</v>
      </c>
      <c r="J40" s="68">
        <v>1</v>
      </c>
      <c r="L40" s="70" t="s">
        <v>65</v>
      </c>
    </row>
    <row r="41" spans="1:12" s="69" customFormat="1" ht="12.75">
      <c r="A41" s="72" t="s">
        <v>121</v>
      </c>
      <c r="B41" s="72"/>
      <c r="C41" s="72"/>
      <c r="D41" s="72" t="s">
        <v>77</v>
      </c>
      <c r="E41" s="72" t="s">
        <v>128</v>
      </c>
      <c r="F41" s="72" t="s">
        <v>126</v>
      </c>
      <c r="G41" s="73">
        <v>11604.64</v>
      </c>
      <c r="H41" s="72">
        <v>20</v>
      </c>
      <c r="I41" s="73">
        <f t="shared" si="1"/>
        <v>232092.79999999999</v>
      </c>
      <c r="J41" s="74">
        <v>1</v>
      </c>
      <c r="K41" s="75" t="s">
        <v>128</v>
      </c>
      <c r="L41" s="76" t="s">
        <v>69</v>
      </c>
    </row>
    <row r="42" spans="1:12" s="69" customFormat="1" ht="12.75">
      <c r="A42" s="72" t="s">
        <v>121</v>
      </c>
      <c r="B42" s="72"/>
      <c r="C42" s="72"/>
      <c r="D42" s="72" t="s">
        <v>70</v>
      </c>
      <c r="E42" s="72" t="s">
        <v>128</v>
      </c>
      <c r="F42" s="72" t="s">
        <v>123</v>
      </c>
      <c r="G42" s="73">
        <v>2374.23</v>
      </c>
      <c r="H42" s="72">
        <v>20</v>
      </c>
      <c r="I42" s="73">
        <f t="shared" si="1"/>
        <v>47484.6</v>
      </c>
      <c r="J42" s="74">
        <v>1</v>
      </c>
      <c r="K42" s="75" t="s">
        <v>128</v>
      </c>
      <c r="L42" s="76" t="s">
        <v>69</v>
      </c>
    </row>
    <row r="43" spans="1:12" s="69" customFormat="1" ht="12.75">
      <c r="A43" s="66" t="s">
        <v>121</v>
      </c>
      <c r="B43" s="66"/>
      <c r="C43" s="66"/>
      <c r="D43" s="66" t="s">
        <v>90</v>
      </c>
      <c r="E43" s="66" t="s">
        <v>76</v>
      </c>
      <c r="F43" s="66" t="s">
        <v>88</v>
      </c>
      <c r="G43" s="67">
        <v>0</v>
      </c>
      <c r="H43" s="66">
        <v>4</v>
      </c>
      <c r="I43" s="67">
        <f t="shared" si="1"/>
        <v>0</v>
      </c>
      <c r="J43" s="68">
        <v>1</v>
      </c>
      <c r="L43" s="70" t="s">
        <v>65</v>
      </c>
    </row>
    <row r="44" spans="1:12" s="69" customFormat="1" ht="12.75">
      <c r="A44" s="72" t="s">
        <v>121</v>
      </c>
      <c r="B44" s="72"/>
      <c r="C44" s="72"/>
      <c r="D44" s="72" t="s">
        <v>90</v>
      </c>
      <c r="E44" s="72"/>
      <c r="F44" s="72" t="s">
        <v>127</v>
      </c>
      <c r="G44" s="73">
        <v>4937.42</v>
      </c>
      <c r="H44" s="72">
        <v>4</v>
      </c>
      <c r="I44" s="73">
        <f t="shared" si="1"/>
        <v>19749.68</v>
      </c>
      <c r="J44" s="74">
        <v>1</v>
      </c>
      <c r="K44" s="75" t="s">
        <v>128</v>
      </c>
      <c r="L44" s="76" t="s">
        <v>69</v>
      </c>
    </row>
    <row r="45" spans="1:12" s="69" customFormat="1" ht="12.75">
      <c r="A45" s="66" t="s">
        <v>121</v>
      </c>
      <c r="B45" s="66"/>
      <c r="C45" s="66"/>
      <c r="D45" s="66" t="s">
        <v>70</v>
      </c>
      <c r="E45" s="66" t="s">
        <v>76</v>
      </c>
      <c r="F45" s="66" t="s">
        <v>85</v>
      </c>
      <c r="G45" s="67">
        <v>0</v>
      </c>
      <c r="H45" s="66">
        <v>24</v>
      </c>
      <c r="I45" s="67">
        <f t="shared" si="1"/>
        <v>0</v>
      </c>
      <c r="J45" s="68">
        <v>1</v>
      </c>
      <c r="L45" s="70" t="s">
        <v>65</v>
      </c>
    </row>
    <row r="46" spans="1:12" s="69" customFormat="1" ht="12.75">
      <c r="A46" s="72" t="s">
        <v>121</v>
      </c>
      <c r="B46" s="72"/>
      <c r="C46" s="72"/>
      <c r="D46" s="72" t="s">
        <v>70</v>
      </c>
      <c r="E46" s="72"/>
      <c r="F46" s="72" t="s">
        <v>123</v>
      </c>
      <c r="G46" s="73">
        <v>969.07</v>
      </c>
      <c r="H46" s="72">
        <v>4</v>
      </c>
      <c r="I46" s="73">
        <f t="shared" si="1"/>
        <v>3876.28</v>
      </c>
      <c r="J46" s="74">
        <v>1</v>
      </c>
      <c r="K46" s="75" t="s">
        <v>128</v>
      </c>
      <c r="L46" s="76" t="s">
        <v>69</v>
      </c>
    </row>
    <row r="47" spans="1:12" s="69" customFormat="1" ht="12.75">
      <c r="A47" s="66" t="s">
        <v>121</v>
      </c>
      <c r="B47" s="66"/>
      <c r="C47" s="66"/>
      <c r="D47" s="66" t="s">
        <v>100</v>
      </c>
      <c r="E47" s="66" t="s">
        <v>76</v>
      </c>
      <c r="F47" s="66" t="s">
        <v>89</v>
      </c>
      <c r="G47" s="67">
        <v>0</v>
      </c>
      <c r="H47" s="66">
        <v>24</v>
      </c>
      <c r="I47" s="67">
        <f t="shared" si="1"/>
        <v>0</v>
      </c>
      <c r="J47" s="68">
        <v>1</v>
      </c>
      <c r="L47" s="70" t="s">
        <v>65</v>
      </c>
    </row>
    <row r="48" spans="1:12" s="69" customFormat="1" ht="12.75">
      <c r="A48" s="66" t="s">
        <v>121</v>
      </c>
      <c r="B48" s="66"/>
      <c r="C48" s="66"/>
      <c r="D48" s="66" t="s">
        <v>90</v>
      </c>
      <c r="E48" s="66" t="s">
        <v>76</v>
      </c>
      <c r="F48" s="66" t="s">
        <v>105</v>
      </c>
      <c r="G48" s="67">
        <v>0</v>
      </c>
      <c r="H48" s="66">
        <v>2</v>
      </c>
      <c r="I48" s="67">
        <f t="shared" si="1"/>
        <v>0</v>
      </c>
      <c r="J48" s="68">
        <v>1</v>
      </c>
      <c r="L48" s="70" t="s">
        <v>65</v>
      </c>
    </row>
    <row r="49" spans="1:12" s="69" customFormat="1" ht="12.75">
      <c r="A49" s="72" t="s">
        <v>121</v>
      </c>
      <c r="B49" s="72"/>
      <c r="C49" s="72"/>
      <c r="D49" s="72" t="s">
        <v>90</v>
      </c>
      <c r="E49" s="72" t="s">
        <v>128</v>
      </c>
      <c r="F49" s="72" t="s">
        <v>129</v>
      </c>
      <c r="G49" s="73">
        <v>81.400000000000006</v>
      </c>
      <c r="H49" s="72">
        <v>2</v>
      </c>
      <c r="I49" s="73">
        <f t="shared" si="1"/>
        <v>162.80000000000001</v>
      </c>
      <c r="J49" s="74">
        <v>1</v>
      </c>
      <c r="K49" s="75" t="s">
        <v>128</v>
      </c>
      <c r="L49" s="76" t="s">
        <v>69</v>
      </c>
    </row>
    <row r="50" spans="1:12" s="69" customFormat="1" ht="12.75">
      <c r="A50" s="66" t="s">
        <v>121</v>
      </c>
      <c r="B50" s="66"/>
      <c r="C50" s="66"/>
      <c r="D50" s="66" t="s">
        <v>101</v>
      </c>
      <c r="E50" s="66" t="s">
        <v>76</v>
      </c>
      <c r="F50" s="66" t="s">
        <v>91</v>
      </c>
      <c r="G50" s="67"/>
      <c r="H50" s="66">
        <v>4</v>
      </c>
      <c r="I50" s="67">
        <f t="shared" si="1"/>
        <v>0</v>
      </c>
      <c r="J50" s="68">
        <v>1</v>
      </c>
      <c r="L50" s="70" t="s">
        <v>65</v>
      </c>
    </row>
    <row r="51" spans="1:12" s="69" customFormat="1" ht="12.75">
      <c r="A51" s="72" t="s">
        <v>121</v>
      </c>
      <c r="B51" s="72"/>
      <c r="C51" s="72"/>
      <c r="D51" s="72" t="s">
        <v>101</v>
      </c>
      <c r="E51" s="72" t="s">
        <v>128</v>
      </c>
      <c r="F51" s="72" t="s">
        <v>132</v>
      </c>
      <c r="G51" s="73">
        <v>1367.7</v>
      </c>
      <c r="H51" s="72">
        <v>4</v>
      </c>
      <c r="I51" s="73">
        <f t="shared" si="1"/>
        <v>5470.8</v>
      </c>
      <c r="J51" s="74">
        <v>1</v>
      </c>
      <c r="K51" s="75" t="s">
        <v>128</v>
      </c>
      <c r="L51" s="76" t="s">
        <v>69</v>
      </c>
    </row>
    <row r="52" spans="1:12" s="69" customFormat="1" ht="12.75" hidden="1">
      <c r="A52" s="66" t="s">
        <v>121</v>
      </c>
      <c r="B52" s="66"/>
      <c r="C52" s="66"/>
      <c r="D52" s="66" t="s">
        <v>103</v>
      </c>
      <c r="E52" s="66" t="s">
        <v>76</v>
      </c>
      <c r="F52" s="66" t="s">
        <v>92</v>
      </c>
      <c r="G52" s="67"/>
      <c r="H52" s="66">
        <v>10</v>
      </c>
      <c r="I52" s="67">
        <f t="shared" si="1"/>
        <v>0</v>
      </c>
      <c r="J52" s="68">
        <v>1</v>
      </c>
      <c r="L52" s="70" t="s">
        <v>102</v>
      </c>
    </row>
    <row r="53" spans="1:12" s="69" customFormat="1" ht="12.75" hidden="1">
      <c r="A53" s="66" t="s">
        <v>121</v>
      </c>
      <c r="B53" s="66"/>
      <c r="C53" s="66"/>
      <c r="D53" s="66" t="s">
        <v>103</v>
      </c>
      <c r="E53" s="66" t="s">
        <v>76</v>
      </c>
      <c r="F53" s="66" t="s">
        <v>93</v>
      </c>
      <c r="G53" s="67"/>
      <c r="H53" s="66">
        <v>50</v>
      </c>
      <c r="I53" s="67">
        <f t="shared" si="1"/>
        <v>0</v>
      </c>
      <c r="J53" s="68">
        <v>1</v>
      </c>
      <c r="L53" s="70" t="s">
        <v>102</v>
      </c>
    </row>
    <row r="54" spans="1:12" s="69" customFormat="1" ht="12.75" hidden="1">
      <c r="A54" s="66" t="s">
        <v>121</v>
      </c>
      <c r="B54" s="66"/>
      <c r="C54" s="66"/>
      <c r="D54" s="66" t="s">
        <v>95</v>
      </c>
      <c r="E54" s="66" t="s">
        <v>76</v>
      </c>
      <c r="F54" s="66" t="s">
        <v>94</v>
      </c>
      <c r="G54" s="67"/>
      <c r="H54" s="66">
        <v>50</v>
      </c>
      <c r="I54" s="67">
        <f t="shared" si="1"/>
        <v>0</v>
      </c>
      <c r="J54" s="68">
        <v>1</v>
      </c>
      <c r="L54" s="70" t="s">
        <v>102</v>
      </c>
    </row>
    <row r="55" spans="1:12" s="69" customFormat="1" ht="12.75" hidden="1">
      <c r="A55" s="66" t="s">
        <v>121</v>
      </c>
      <c r="B55" s="66"/>
      <c r="C55" s="66"/>
      <c r="D55" s="66" t="s">
        <v>95</v>
      </c>
      <c r="E55" s="66" t="s">
        <v>76</v>
      </c>
      <c r="F55" s="66" t="s">
        <v>96</v>
      </c>
      <c r="G55" s="67"/>
      <c r="H55" s="66">
        <v>50</v>
      </c>
      <c r="I55" s="67">
        <f t="shared" si="1"/>
        <v>0</v>
      </c>
      <c r="J55" s="68">
        <v>1</v>
      </c>
      <c r="L55" s="70" t="s">
        <v>102</v>
      </c>
    </row>
    <row r="56" spans="1:12" s="69" customFormat="1" ht="12.75" hidden="1">
      <c r="A56" s="66" t="s">
        <v>121</v>
      </c>
      <c r="B56" s="66"/>
      <c r="C56" s="66"/>
      <c r="D56" s="66" t="s">
        <v>95</v>
      </c>
      <c r="E56" s="66" t="s">
        <v>76</v>
      </c>
      <c r="F56" s="66" t="s">
        <v>97</v>
      </c>
      <c r="G56" s="67"/>
      <c r="H56" s="66">
        <v>50</v>
      </c>
      <c r="I56" s="67">
        <f t="shared" si="1"/>
        <v>0</v>
      </c>
      <c r="J56" s="68">
        <v>1</v>
      </c>
      <c r="L56" s="70" t="s">
        <v>102</v>
      </c>
    </row>
    <row r="57" spans="1:12" s="69" customFormat="1" ht="12.75" hidden="1">
      <c r="A57" s="66" t="s">
        <v>121</v>
      </c>
      <c r="B57" s="66"/>
      <c r="C57" s="66"/>
      <c r="D57" s="66" t="s">
        <v>78</v>
      </c>
      <c r="E57" s="66" t="s">
        <v>76</v>
      </c>
      <c r="F57" s="66" t="s">
        <v>99</v>
      </c>
      <c r="G57" s="67"/>
      <c r="H57" s="66">
        <v>50</v>
      </c>
      <c r="I57" s="67">
        <f t="shared" si="1"/>
        <v>0</v>
      </c>
      <c r="J57" s="68">
        <v>1</v>
      </c>
      <c r="L57" s="70" t="s">
        <v>102</v>
      </c>
    </row>
    <row r="58" spans="1:12" s="69" customFormat="1" ht="12.75" hidden="1">
      <c r="A58" s="66" t="s">
        <v>121</v>
      </c>
      <c r="B58" s="66"/>
      <c r="C58" s="66"/>
      <c r="D58" s="66" t="s">
        <v>100</v>
      </c>
      <c r="E58" s="66" t="s">
        <v>76</v>
      </c>
      <c r="F58" s="66" t="s">
        <v>98</v>
      </c>
      <c r="G58" s="67"/>
      <c r="H58" s="66">
        <v>50</v>
      </c>
      <c r="I58" s="67">
        <f t="shared" si="1"/>
        <v>0</v>
      </c>
      <c r="J58" s="68">
        <v>1</v>
      </c>
      <c r="L58" s="70" t="s">
        <v>102</v>
      </c>
    </row>
    <row r="59" spans="1:12" s="69" customFormat="1" ht="12.75">
      <c r="A59" s="66" t="s">
        <v>104</v>
      </c>
      <c r="B59" s="66"/>
      <c r="C59" s="66"/>
      <c r="D59" s="66" t="s">
        <v>103</v>
      </c>
      <c r="E59" s="66" t="s">
        <v>76</v>
      </c>
      <c r="F59" s="66" t="s">
        <v>84</v>
      </c>
      <c r="G59" s="67">
        <v>1344</v>
      </c>
      <c r="H59" s="66">
        <v>240</v>
      </c>
      <c r="I59" s="67">
        <f t="shared" ref="I59:I77" si="2">SUM(G59:G59)*H59</f>
        <v>322560</v>
      </c>
      <c r="J59" s="68">
        <v>1</v>
      </c>
      <c r="L59" s="70" t="s">
        <v>65</v>
      </c>
    </row>
    <row r="60" spans="1:12" s="69" customFormat="1" ht="12.75">
      <c r="A60" s="66" t="s">
        <v>104</v>
      </c>
      <c r="B60" s="66"/>
      <c r="C60" s="66"/>
      <c r="D60" s="66" t="s">
        <v>70</v>
      </c>
      <c r="E60" s="66" t="s">
        <v>76</v>
      </c>
      <c r="F60" s="66" t="s">
        <v>85</v>
      </c>
      <c r="G60" s="67">
        <v>377</v>
      </c>
      <c r="H60" s="66">
        <v>240</v>
      </c>
      <c r="I60" s="67">
        <f t="shared" si="2"/>
        <v>90480</v>
      </c>
      <c r="J60" s="68">
        <v>1</v>
      </c>
      <c r="L60" s="70" t="s">
        <v>65</v>
      </c>
    </row>
    <row r="61" spans="1:12" s="69" customFormat="1" ht="12.75">
      <c r="A61" s="66" t="s">
        <v>104</v>
      </c>
      <c r="B61" s="66"/>
      <c r="C61" s="66"/>
      <c r="D61" s="66" t="s">
        <v>77</v>
      </c>
      <c r="E61" s="66" t="s">
        <v>76</v>
      </c>
      <c r="F61" s="66" t="s">
        <v>86</v>
      </c>
      <c r="G61" s="67">
        <v>9121</v>
      </c>
      <c r="H61" s="66">
        <v>25</v>
      </c>
      <c r="I61" s="67">
        <f t="shared" si="2"/>
        <v>228025</v>
      </c>
      <c r="J61" s="68">
        <v>1</v>
      </c>
      <c r="L61" s="70" t="s">
        <v>65</v>
      </c>
    </row>
    <row r="62" spans="1:12" s="69" customFormat="1" ht="12.75">
      <c r="A62" s="66" t="s">
        <v>104</v>
      </c>
      <c r="B62" s="66"/>
      <c r="C62" s="66"/>
      <c r="D62" s="66" t="s">
        <v>70</v>
      </c>
      <c r="E62" s="66" t="s">
        <v>76</v>
      </c>
      <c r="F62" s="66" t="s">
        <v>85</v>
      </c>
      <c r="G62" s="67">
        <v>1111</v>
      </c>
      <c r="H62" s="66">
        <v>25</v>
      </c>
      <c r="I62" s="67">
        <f t="shared" si="2"/>
        <v>27775</v>
      </c>
      <c r="J62" s="68">
        <v>1</v>
      </c>
      <c r="L62" s="70" t="s">
        <v>65</v>
      </c>
    </row>
    <row r="63" spans="1:12" s="69" customFormat="1" ht="12.75">
      <c r="A63" s="66" t="s">
        <v>104</v>
      </c>
      <c r="B63" s="66"/>
      <c r="C63" s="66"/>
      <c r="D63" s="66" t="s">
        <v>77</v>
      </c>
      <c r="E63" s="66" t="s">
        <v>76</v>
      </c>
      <c r="F63" s="66" t="s">
        <v>87</v>
      </c>
      <c r="G63" s="67">
        <v>15279</v>
      </c>
      <c r="H63" s="66">
        <v>20</v>
      </c>
      <c r="I63" s="67">
        <f t="shared" si="2"/>
        <v>305580</v>
      </c>
      <c r="J63" s="68">
        <v>1</v>
      </c>
      <c r="L63" s="70" t="s">
        <v>65</v>
      </c>
    </row>
    <row r="64" spans="1:12" s="69" customFormat="1" ht="12.75" hidden="1">
      <c r="A64" s="72" t="s">
        <v>104</v>
      </c>
      <c r="B64" s="72"/>
      <c r="C64" s="72"/>
      <c r="D64" s="72" t="s">
        <v>106</v>
      </c>
      <c r="E64" s="72" t="s">
        <v>76</v>
      </c>
      <c r="F64" s="72" t="s">
        <v>107</v>
      </c>
      <c r="G64" s="73">
        <v>1213</v>
      </c>
      <c r="H64" s="72">
        <v>20</v>
      </c>
      <c r="I64" s="73">
        <f t="shared" ref="I64" si="3">SUM(G64:G64)*H64</f>
        <v>24260</v>
      </c>
      <c r="J64" s="74">
        <v>1</v>
      </c>
      <c r="K64" s="75"/>
      <c r="L64" s="76" t="s">
        <v>108</v>
      </c>
    </row>
    <row r="65" spans="1:12" s="69" customFormat="1" ht="12.75">
      <c r="A65" s="66" t="s">
        <v>104</v>
      </c>
      <c r="B65" s="66"/>
      <c r="C65" s="66"/>
      <c r="D65" s="66" t="s">
        <v>77</v>
      </c>
      <c r="E65" s="66" t="s">
        <v>76</v>
      </c>
      <c r="F65" s="66" t="s">
        <v>88</v>
      </c>
      <c r="G65" s="67">
        <v>18918</v>
      </c>
      <c r="H65" s="66">
        <v>4</v>
      </c>
      <c r="I65" s="67">
        <f t="shared" si="2"/>
        <v>75672</v>
      </c>
      <c r="J65" s="68">
        <v>1</v>
      </c>
      <c r="L65" s="70" t="s">
        <v>65</v>
      </c>
    </row>
    <row r="66" spans="1:12" s="69" customFormat="1" ht="12.75" hidden="1">
      <c r="A66" s="72" t="s">
        <v>104</v>
      </c>
      <c r="B66" s="72"/>
      <c r="C66" s="72"/>
      <c r="D66" s="72" t="s">
        <v>106</v>
      </c>
      <c r="E66" s="72" t="s">
        <v>76</v>
      </c>
      <c r="F66" s="72" t="s">
        <v>107</v>
      </c>
      <c r="G66" s="73">
        <v>1213</v>
      </c>
      <c r="H66" s="72">
        <v>4</v>
      </c>
      <c r="I66" s="73">
        <f t="shared" si="2"/>
        <v>4852</v>
      </c>
      <c r="J66" s="74">
        <v>1</v>
      </c>
      <c r="K66" s="75"/>
      <c r="L66" s="76" t="s">
        <v>108</v>
      </c>
    </row>
    <row r="67" spans="1:12" s="69" customFormat="1" ht="12.75">
      <c r="A67" s="66" t="s">
        <v>104</v>
      </c>
      <c r="B67" s="66"/>
      <c r="C67" s="66"/>
      <c r="D67" s="66" t="s">
        <v>70</v>
      </c>
      <c r="E67" s="66" t="s">
        <v>76</v>
      </c>
      <c r="F67" s="66" t="s">
        <v>85</v>
      </c>
      <c r="G67" s="67">
        <v>1745</v>
      </c>
      <c r="H67" s="66">
        <v>24</v>
      </c>
      <c r="I67" s="67">
        <f t="shared" si="2"/>
        <v>41880</v>
      </c>
      <c r="J67" s="68">
        <v>1</v>
      </c>
      <c r="L67" s="70" t="s">
        <v>65</v>
      </c>
    </row>
    <row r="68" spans="1:12" s="69" customFormat="1" ht="12.75">
      <c r="A68" s="66" t="s">
        <v>104</v>
      </c>
      <c r="B68" s="66"/>
      <c r="C68" s="66"/>
      <c r="D68" s="66" t="s">
        <v>100</v>
      </c>
      <c r="E68" s="66" t="s">
        <v>76</v>
      </c>
      <c r="F68" s="66" t="s">
        <v>89</v>
      </c>
      <c r="G68" s="67">
        <v>198</v>
      </c>
      <c r="H68" s="66">
        <v>24</v>
      </c>
      <c r="I68" s="67">
        <f t="shared" si="2"/>
        <v>4752</v>
      </c>
      <c r="J68" s="68">
        <v>1</v>
      </c>
      <c r="L68" s="70" t="s">
        <v>65</v>
      </c>
    </row>
    <row r="69" spans="1:12" s="69" customFormat="1" ht="12.75">
      <c r="A69" s="66" t="s">
        <v>104</v>
      </c>
      <c r="B69" s="66"/>
      <c r="C69" s="66"/>
      <c r="D69" s="66" t="s">
        <v>90</v>
      </c>
      <c r="E69" s="66" t="s">
        <v>76</v>
      </c>
      <c r="F69" s="66" t="s">
        <v>105</v>
      </c>
      <c r="G69" s="67">
        <v>444</v>
      </c>
      <c r="H69" s="66">
        <v>2</v>
      </c>
      <c r="I69" s="67">
        <f t="shared" si="2"/>
        <v>888</v>
      </c>
      <c r="J69" s="68">
        <v>1</v>
      </c>
      <c r="L69" s="70" t="s">
        <v>65</v>
      </c>
    </row>
    <row r="70" spans="1:12" s="69" customFormat="1" ht="12.75">
      <c r="A70" s="66" t="s">
        <v>104</v>
      </c>
      <c r="B70" s="66"/>
      <c r="C70" s="66"/>
      <c r="D70" s="66" t="s">
        <v>101</v>
      </c>
      <c r="E70" s="66" t="s">
        <v>76</v>
      </c>
      <c r="F70" s="66" t="s">
        <v>91</v>
      </c>
      <c r="G70" s="67">
        <v>57.36</v>
      </c>
      <c r="H70" s="66">
        <v>4</v>
      </c>
      <c r="I70" s="67">
        <f t="shared" si="2"/>
        <v>229.44</v>
      </c>
      <c r="J70" s="68">
        <v>1</v>
      </c>
      <c r="L70" s="70" t="s">
        <v>65</v>
      </c>
    </row>
    <row r="71" spans="1:12" s="69" customFormat="1" ht="12.75" hidden="1">
      <c r="A71" s="66" t="s">
        <v>104</v>
      </c>
      <c r="B71" s="66"/>
      <c r="C71" s="66"/>
      <c r="D71" s="66" t="s">
        <v>103</v>
      </c>
      <c r="E71" s="66" t="s">
        <v>76</v>
      </c>
      <c r="F71" s="66" t="s">
        <v>92</v>
      </c>
      <c r="G71" s="67">
        <v>1878</v>
      </c>
      <c r="H71" s="66">
        <v>10</v>
      </c>
      <c r="I71" s="67">
        <f t="shared" si="2"/>
        <v>18780</v>
      </c>
      <c r="J71" s="68">
        <v>1</v>
      </c>
      <c r="L71" s="70" t="s">
        <v>102</v>
      </c>
    </row>
    <row r="72" spans="1:12" s="69" customFormat="1" ht="12.75" hidden="1">
      <c r="A72" s="66" t="s">
        <v>104</v>
      </c>
      <c r="B72" s="66"/>
      <c r="C72" s="66"/>
      <c r="D72" s="66" t="s">
        <v>103</v>
      </c>
      <c r="E72" s="66" t="s">
        <v>76</v>
      </c>
      <c r="F72" s="66" t="s">
        <v>93</v>
      </c>
      <c r="G72" s="67">
        <v>1396</v>
      </c>
      <c r="H72" s="66">
        <v>50</v>
      </c>
      <c r="I72" s="67">
        <f t="shared" si="2"/>
        <v>69800</v>
      </c>
      <c r="J72" s="68">
        <v>1</v>
      </c>
      <c r="L72" s="70" t="s">
        <v>102</v>
      </c>
    </row>
    <row r="73" spans="1:12" s="69" customFormat="1" ht="12.75" hidden="1">
      <c r="A73" s="66" t="s">
        <v>104</v>
      </c>
      <c r="B73" s="66"/>
      <c r="C73" s="66"/>
      <c r="D73" s="66" t="s">
        <v>95</v>
      </c>
      <c r="E73" s="66" t="s">
        <v>76</v>
      </c>
      <c r="F73" s="66" t="s">
        <v>94</v>
      </c>
      <c r="G73" s="67">
        <v>383</v>
      </c>
      <c r="H73" s="66">
        <v>50</v>
      </c>
      <c r="I73" s="67">
        <f t="shared" si="2"/>
        <v>19150</v>
      </c>
      <c r="J73" s="68">
        <v>1</v>
      </c>
      <c r="L73" s="70" t="s">
        <v>102</v>
      </c>
    </row>
    <row r="74" spans="1:12" s="69" customFormat="1" ht="12.75" hidden="1">
      <c r="A74" s="66" t="s">
        <v>104</v>
      </c>
      <c r="B74" s="66"/>
      <c r="C74" s="66"/>
      <c r="D74" s="66" t="s">
        <v>95</v>
      </c>
      <c r="E74" s="66" t="s">
        <v>76</v>
      </c>
      <c r="F74" s="66" t="s">
        <v>96</v>
      </c>
      <c r="G74" s="67">
        <v>255</v>
      </c>
      <c r="H74" s="66">
        <v>50</v>
      </c>
      <c r="I74" s="67">
        <f t="shared" si="2"/>
        <v>12750</v>
      </c>
      <c r="J74" s="68">
        <v>1</v>
      </c>
      <c r="L74" s="70" t="s">
        <v>102</v>
      </c>
    </row>
    <row r="75" spans="1:12" s="69" customFormat="1" ht="12.75" hidden="1">
      <c r="A75" s="66" t="s">
        <v>104</v>
      </c>
      <c r="B75" s="66"/>
      <c r="C75" s="66"/>
      <c r="D75" s="66" t="s">
        <v>95</v>
      </c>
      <c r="E75" s="66" t="s">
        <v>76</v>
      </c>
      <c r="F75" s="66" t="s">
        <v>97</v>
      </c>
      <c r="G75" s="67">
        <v>383</v>
      </c>
      <c r="H75" s="66">
        <v>50</v>
      </c>
      <c r="I75" s="67">
        <f t="shared" si="2"/>
        <v>19150</v>
      </c>
      <c r="J75" s="68">
        <v>1</v>
      </c>
      <c r="L75" s="70" t="s">
        <v>102</v>
      </c>
    </row>
    <row r="76" spans="1:12" s="69" customFormat="1" ht="12.75" hidden="1">
      <c r="A76" s="66" t="s">
        <v>104</v>
      </c>
      <c r="B76" s="66"/>
      <c r="C76" s="66"/>
      <c r="D76" s="66" t="s">
        <v>78</v>
      </c>
      <c r="E76" s="66" t="s">
        <v>76</v>
      </c>
      <c r="F76" s="66" t="s">
        <v>99</v>
      </c>
      <c r="G76" s="67">
        <v>1902</v>
      </c>
      <c r="H76" s="66">
        <v>50</v>
      </c>
      <c r="I76" s="67">
        <f t="shared" si="2"/>
        <v>95100</v>
      </c>
      <c r="J76" s="68">
        <v>1</v>
      </c>
      <c r="L76" s="70" t="s">
        <v>102</v>
      </c>
    </row>
    <row r="77" spans="1:12" s="69" customFormat="1" ht="12.75" hidden="1">
      <c r="A77" s="66" t="s">
        <v>104</v>
      </c>
      <c r="B77" s="66"/>
      <c r="C77" s="66"/>
      <c r="D77" s="66" t="s">
        <v>100</v>
      </c>
      <c r="E77" s="66" t="s">
        <v>76</v>
      </c>
      <c r="F77" s="66" t="s">
        <v>98</v>
      </c>
      <c r="G77" s="67">
        <v>178</v>
      </c>
      <c r="H77" s="66">
        <v>50</v>
      </c>
      <c r="I77" s="67">
        <f t="shared" si="2"/>
        <v>8900</v>
      </c>
      <c r="J77" s="68">
        <v>1</v>
      </c>
      <c r="L77" s="70" t="s">
        <v>102</v>
      </c>
    </row>
    <row r="78" spans="1:12" s="69" customFormat="1" ht="12.75">
      <c r="A78" s="66" t="s">
        <v>130</v>
      </c>
      <c r="B78" s="66"/>
      <c r="C78" s="66"/>
      <c r="D78" s="66" t="s">
        <v>103</v>
      </c>
      <c r="E78" s="66" t="s">
        <v>76</v>
      </c>
      <c r="F78" s="66" t="s">
        <v>84</v>
      </c>
      <c r="G78" s="67">
        <v>1364.83</v>
      </c>
      <c r="H78" s="66">
        <v>240</v>
      </c>
      <c r="I78" s="67">
        <f t="shared" ref="I78:I94" si="4">SUM(G78:G78)*H78</f>
        <v>327559.19999999995</v>
      </c>
      <c r="J78" s="68">
        <v>1</v>
      </c>
      <c r="L78" s="70" t="s">
        <v>65</v>
      </c>
    </row>
    <row r="79" spans="1:12" s="69" customFormat="1" ht="12.75">
      <c r="A79" s="66" t="s">
        <v>130</v>
      </c>
      <c r="B79" s="66"/>
      <c r="C79" s="66"/>
      <c r="D79" s="66" t="s">
        <v>70</v>
      </c>
      <c r="E79" s="66" t="s">
        <v>76</v>
      </c>
      <c r="F79" s="66" t="s">
        <v>85</v>
      </c>
      <c r="G79" s="67">
        <v>0</v>
      </c>
      <c r="H79" s="66">
        <v>240</v>
      </c>
      <c r="I79" s="67">
        <f t="shared" si="4"/>
        <v>0</v>
      </c>
      <c r="J79" s="68">
        <v>1</v>
      </c>
      <c r="K79" s="69" t="s">
        <v>133</v>
      </c>
      <c r="L79" s="70" t="s">
        <v>65</v>
      </c>
    </row>
    <row r="80" spans="1:12" s="69" customFormat="1" ht="12.75">
      <c r="A80" s="66" t="s">
        <v>130</v>
      </c>
      <c r="B80" s="66"/>
      <c r="C80" s="66"/>
      <c r="D80" s="66" t="s">
        <v>77</v>
      </c>
      <c r="E80" s="66" t="s">
        <v>76</v>
      </c>
      <c r="F80" s="66" t="s">
        <v>86</v>
      </c>
      <c r="G80" s="67">
        <v>9167.6200000000008</v>
      </c>
      <c r="H80" s="66">
        <v>25</v>
      </c>
      <c r="I80" s="67">
        <f t="shared" si="4"/>
        <v>229190.50000000003</v>
      </c>
      <c r="J80" s="68">
        <v>1</v>
      </c>
      <c r="L80" s="70" t="s">
        <v>65</v>
      </c>
    </row>
    <row r="81" spans="1:12" s="69" customFormat="1" ht="12.75">
      <c r="A81" s="66" t="s">
        <v>130</v>
      </c>
      <c r="B81" s="66"/>
      <c r="C81" s="66"/>
      <c r="D81" s="66" t="s">
        <v>70</v>
      </c>
      <c r="E81" s="66" t="s">
        <v>76</v>
      </c>
      <c r="F81" s="66" t="s">
        <v>85</v>
      </c>
      <c r="G81" s="67">
        <v>802.6</v>
      </c>
      <c r="H81" s="66">
        <v>25</v>
      </c>
      <c r="I81" s="67">
        <f t="shared" si="4"/>
        <v>20065</v>
      </c>
      <c r="J81" s="68">
        <v>1</v>
      </c>
      <c r="L81" s="70" t="s">
        <v>65</v>
      </c>
    </row>
    <row r="82" spans="1:12" s="69" customFormat="1" ht="12.75">
      <c r="A82" s="66" t="s">
        <v>130</v>
      </c>
      <c r="B82" s="66"/>
      <c r="C82" s="66"/>
      <c r="D82" s="66" t="s">
        <v>77</v>
      </c>
      <c r="E82" s="66" t="s">
        <v>76</v>
      </c>
      <c r="F82" s="66" t="s">
        <v>87</v>
      </c>
      <c r="G82" s="67">
        <v>15367.81</v>
      </c>
      <c r="H82" s="66">
        <v>20</v>
      </c>
      <c r="I82" s="67">
        <f t="shared" si="4"/>
        <v>307356.2</v>
      </c>
      <c r="J82" s="68">
        <v>1</v>
      </c>
      <c r="L82" s="70" t="s">
        <v>65</v>
      </c>
    </row>
    <row r="83" spans="1:12" s="69" customFormat="1" ht="12.75">
      <c r="A83" s="66" t="s">
        <v>130</v>
      </c>
      <c r="B83" s="66"/>
      <c r="C83" s="66"/>
      <c r="D83" s="66" t="s">
        <v>90</v>
      </c>
      <c r="E83" s="66" t="s">
        <v>76</v>
      </c>
      <c r="F83" s="66" t="s">
        <v>88</v>
      </c>
      <c r="G83" s="67">
        <v>19280.39</v>
      </c>
      <c r="H83" s="66">
        <v>4</v>
      </c>
      <c r="I83" s="67">
        <f t="shared" si="4"/>
        <v>77121.56</v>
      </c>
      <c r="J83" s="68">
        <v>1</v>
      </c>
      <c r="L83" s="70" t="s">
        <v>65</v>
      </c>
    </row>
    <row r="84" spans="1:12" s="69" customFormat="1" ht="12.75">
      <c r="A84" s="66" t="s">
        <v>130</v>
      </c>
      <c r="B84" s="66"/>
      <c r="C84" s="66"/>
      <c r="D84" s="66" t="s">
        <v>70</v>
      </c>
      <c r="E84" s="66" t="s">
        <v>76</v>
      </c>
      <c r="F84" s="66" t="s">
        <v>85</v>
      </c>
      <c r="G84" s="67">
        <v>1592.16</v>
      </c>
      <c r="H84" s="66">
        <v>24</v>
      </c>
      <c r="I84" s="67">
        <f t="shared" si="4"/>
        <v>38211.840000000004</v>
      </c>
      <c r="J84" s="68">
        <v>1</v>
      </c>
      <c r="L84" s="70" t="s">
        <v>65</v>
      </c>
    </row>
    <row r="85" spans="1:12" s="69" customFormat="1" ht="12.75">
      <c r="A85" s="66" t="s">
        <v>130</v>
      </c>
      <c r="B85" s="66"/>
      <c r="C85" s="66"/>
      <c r="D85" s="66" t="s">
        <v>100</v>
      </c>
      <c r="E85" s="66" t="s">
        <v>76</v>
      </c>
      <c r="F85" s="66" t="s">
        <v>89</v>
      </c>
      <c r="G85" s="67">
        <v>185.72</v>
      </c>
      <c r="H85" s="66">
        <v>24</v>
      </c>
      <c r="I85" s="67">
        <f t="shared" si="4"/>
        <v>4457.28</v>
      </c>
      <c r="J85" s="68">
        <v>1</v>
      </c>
      <c r="L85" s="70" t="s">
        <v>65</v>
      </c>
    </row>
    <row r="86" spans="1:12" s="69" customFormat="1" ht="12.75">
      <c r="A86" s="66" t="s">
        <v>130</v>
      </c>
      <c r="B86" s="66"/>
      <c r="C86" s="66"/>
      <c r="D86" s="66" t="s">
        <v>90</v>
      </c>
      <c r="E86" s="66" t="s">
        <v>76</v>
      </c>
      <c r="F86" s="66" t="s">
        <v>88</v>
      </c>
      <c r="G86" s="67">
        <v>417</v>
      </c>
      <c r="H86" s="66">
        <v>2</v>
      </c>
      <c r="I86" s="67">
        <f t="shared" si="4"/>
        <v>834</v>
      </c>
      <c r="J86" s="68">
        <v>1</v>
      </c>
      <c r="L86" s="70" t="s">
        <v>65</v>
      </c>
    </row>
    <row r="87" spans="1:12" s="69" customFormat="1" ht="12.75">
      <c r="A87" s="66" t="s">
        <v>130</v>
      </c>
      <c r="B87" s="66"/>
      <c r="C87" s="66"/>
      <c r="D87" s="66" t="s">
        <v>101</v>
      </c>
      <c r="E87" s="66" t="s">
        <v>76</v>
      </c>
      <c r="F87" s="66" t="s">
        <v>91</v>
      </c>
      <c r="G87" s="67">
        <v>5392.84</v>
      </c>
      <c r="H87" s="66">
        <v>4</v>
      </c>
      <c r="I87" s="67">
        <f t="shared" si="4"/>
        <v>21571.360000000001</v>
      </c>
      <c r="J87" s="68">
        <v>1</v>
      </c>
      <c r="L87" s="70" t="s">
        <v>65</v>
      </c>
    </row>
    <row r="88" spans="1:12" s="69" customFormat="1" ht="12.75" hidden="1">
      <c r="A88" s="66" t="s">
        <v>130</v>
      </c>
      <c r="B88" s="66"/>
      <c r="C88" s="66"/>
      <c r="D88" s="66" t="s">
        <v>103</v>
      </c>
      <c r="E88" s="66" t="s">
        <v>76</v>
      </c>
      <c r="F88" s="66" t="s">
        <v>92</v>
      </c>
      <c r="G88" s="67">
        <v>2011.54</v>
      </c>
      <c r="H88" s="66">
        <v>10</v>
      </c>
      <c r="I88" s="67">
        <f t="shared" si="4"/>
        <v>20115.400000000001</v>
      </c>
      <c r="J88" s="68">
        <v>1</v>
      </c>
      <c r="L88" s="70" t="s">
        <v>102</v>
      </c>
    </row>
    <row r="89" spans="1:12" s="69" customFormat="1" ht="12.75" hidden="1">
      <c r="A89" s="66" t="s">
        <v>130</v>
      </c>
      <c r="B89" s="66"/>
      <c r="C89" s="66"/>
      <c r="D89" s="66" t="s">
        <v>103</v>
      </c>
      <c r="E89" s="66" t="s">
        <v>76</v>
      </c>
      <c r="F89" s="66" t="s">
        <v>93</v>
      </c>
      <c r="G89" s="67">
        <v>1865.37</v>
      </c>
      <c r="H89" s="66">
        <v>50</v>
      </c>
      <c r="I89" s="67">
        <f t="shared" si="4"/>
        <v>93268.5</v>
      </c>
      <c r="J89" s="68">
        <v>1</v>
      </c>
      <c r="L89" s="70" t="s">
        <v>102</v>
      </c>
    </row>
    <row r="90" spans="1:12" s="69" customFormat="1" ht="12.75" hidden="1">
      <c r="A90" s="66" t="s">
        <v>130</v>
      </c>
      <c r="B90" s="66"/>
      <c r="C90" s="66"/>
      <c r="D90" s="66" t="s">
        <v>95</v>
      </c>
      <c r="E90" s="66" t="s">
        <v>76</v>
      </c>
      <c r="F90" s="66" t="s">
        <v>94</v>
      </c>
      <c r="G90" s="67">
        <v>346.9</v>
      </c>
      <c r="H90" s="66">
        <v>50</v>
      </c>
      <c r="I90" s="67">
        <f t="shared" si="4"/>
        <v>17345</v>
      </c>
      <c r="J90" s="68">
        <v>1</v>
      </c>
      <c r="L90" s="70" t="s">
        <v>102</v>
      </c>
    </row>
    <row r="91" spans="1:12" s="69" customFormat="1" ht="12.75" hidden="1">
      <c r="A91" s="66" t="s">
        <v>130</v>
      </c>
      <c r="B91" s="66"/>
      <c r="C91" s="66"/>
      <c r="D91" s="66" t="s">
        <v>95</v>
      </c>
      <c r="E91" s="66" t="s">
        <v>76</v>
      </c>
      <c r="F91" s="66" t="s">
        <v>96</v>
      </c>
      <c r="G91" s="67">
        <v>223.56</v>
      </c>
      <c r="H91" s="66">
        <v>50</v>
      </c>
      <c r="I91" s="67">
        <f t="shared" si="4"/>
        <v>11178</v>
      </c>
      <c r="J91" s="68">
        <v>1</v>
      </c>
      <c r="L91" s="70" t="s">
        <v>102</v>
      </c>
    </row>
    <row r="92" spans="1:12" s="69" customFormat="1" ht="12.75" hidden="1">
      <c r="A92" s="66" t="s">
        <v>130</v>
      </c>
      <c r="B92" s="66"/>
      <c r="C92" s="66"/>
      <c r="D92" s="66" t="s">
        <v>95</v>
      </c>
      <c r="E92" s="66" t="s">
        <v>76</v>
      </c>
      <c r="F92" s="66" t="s">
        <v>97</v>
      </c>
      <c r="G92" s="67">
        <v>346.9</v>
      </c>
      <c r="H92" s="66">
        <v>50</v>
      </c>
      <c r="I92" s="67">
        <f t="shared" si="4"/>
        <v>17345</v>
      </c>
      <c r="J92" s="68">
        <v>1</v>
      </c>
      <c r="L92" s="70" t="s">
        <v>102</v>
      </c>
    </row>
    <row r="93" spans="1:12" s="69" customFormat="1" ht="12.75" hidden="1">
      <c r="A93" s="66" t="s">
        <v>130</v>
      </c>
      <c r="B93" s="66"/>
      <c r="C93" s="66"/>
      <c r="D93" s="66" t="s">
        <v>78</v>
      </c>
      <c r="E93" s="66" t="s">
        <v>76</v>
      </c>
      <c r="F93" s="66" t="s">
        <v>99</v>
      </c>
      <c r="G93" s="67">
        <v>2209.81</v>
      </c>
      <c r="H93" s="66">
        <v>50</v>
      </c>
      <c r="I93" s="67">
        <f t="shared" si="4"/>
        <v>110490.5</v>
      </c>
      <c r="J93" s="68">
        <v>1</v>
      </c>
      <c r="L93" s="70" t="s">
        <v>102</v>
      </c>
    </row>
    <row r="94" spans="1:12" s="69" customFormat="1" ht="12.75" hidden="1">
      <c r="A94" s="66" t="s">
        <v>130</v>
      </c>
      <c r="B94" s="66"/>
      <c r="C94" s="66"/>
      <c r="D94" s="66" t="s">
        <v>100</v>
      </c>
      <c r="E94" s="66" t="s">
        <v>76</v>
      </c>
      <c r="F94" s="66" t="s">
        <v>98</v>
      </c>
      <c r="G94" s="67">
        <v>148.58000000000001</v>
      </c>
      <c r="H94" s="66">
        <v>50</v>
      </c>
      <c r="I94" s="67">
        <f t="shared" si="4"/>
        <v>7429.0000000000009</v>
      </c>
      <c r="J94" s="68">
        <v>1</v>
      </c>
      <c r="L94" s="70" t="s">
        <v>102</v>
      </c>
    </row>
    <row r="95" spans="1:12" s="69" customFormat="1" ht="12.75">
      <c r="A95" s="66" t="s">
        <v>131</v>
      </c>
      <c r="B95" s="66"/>
      <c r="C95" s="66"/>
      <c r="D95" s="66" t="s">
        <v>103</v>
      </c>
      <c r="E95" s="66" t="s">
        <v>76</v>
      </c>
      <c r="F95" s="66" t="s">
        <v>84</v>
      </c>
      <c r="G95" s="67">
        <v>777.56</v>
      </c>
      <c r="H95" s="66">
        <v>240</v>
      </c>
      <c r="I95" s="67">
        <f t="shared" ref="I95:I111" si="5">SUM(G95:G95)*H95</f>
        <v>186614.39999999999</v>
      </c>
      <c r="J95" s="68">
        <v>1</v>
      </c>
      <c r="K95" s="69" t="s">
        <v>134</v>
      </c>
      <c r="L95" s="70" t="s">
        <v>65</v>
      </c>
    </row>
    <row r="96" spans="1:12" s="69" customFormat="1" ht="12.75">
      <c r="A96" s="66" t="s">
        <v>131</v>
      </c>
      <c r="B96" s="66"/>
      <c r="C96" s="66"/>
      <c r="D96" s="66" t="s">
        <v>70</v>
      </c>
      <c r="E96" s="66" t="s">
        <v>76</v>
      </c>
      <c r="F96" s="66" t="s">
        <v>85</v>
      </c>
      <c r="G96" s="67">
        <v>226.46</v>
      </c>
      <c r="H96" s="66">
        <v>240</v>
      </c>
      <c r="I96" s="67">
        <f t="shared" si="5"/>
        <v>54350.400000000001</v>
      </c>
      <c r="J96" s="68">
        <v>1</v>
      </c>
      <c r="L96" s="70" t="s">
        <v>65</v>
      </c>
    </row>
    <row r="97" spans="1:12" s="69" customFormat="1" ht="12.75">
      <c r="A97" s="66" t="s">
        <v>131</v>
      </c>
      <c r="B97" s="66"/>
      <c r="C97" s="66"/>
      <c r="D97" s="66" t="s">
        <v>77</v>
      </c>
      <c r="E97" s="66" t="s">
        <v>76</v>
      </c>
      <c r="F97" s="66" t="s">
        <v>86</v>
      </c>
      <c r="G97" s="67">
        <v>5302.94</v>
      </c>
      <c r="H97" s="66">
        <v>25</v>
      </c>
      <c r="I97" s="67">
        <f t="shared" si="5"/>
        <v>132573.5</v>
      </c>
      <c r="J97" s="68">
        <v>1</v>
      </c>
      <c r="L97" s="70" t="s">
        <v>65</v>
      </c>
    </row>
    <row r="98" spans="1:12" s="69" customFormat="1" ht="12.75">
      <c r="A98" s="66" t="s">
        <v>131</v>
      </c>
      <c r="B98" s="66"/>
      <c r="C98" s="66"/>
      <c r="D98" s="66" t="s">
        <v>70</v>
      </c>
      <c r="E98" s="66" t="s">
        <v>76</v>
      </c>
      <c r="F98" s="66" t="s">
        <v>85</v>
      </c>
      <c r="G98" s="67">
        <v>668.18</v>
      </c>
      <c r="H98" s="66">
        <v>25</v>
      </c>
      <c r="I98" s="67">
        <f t="shared" si="5"/>
        <v>16704.5</v>
      </c>
      <c r="J98" s="68">
        <v>1</v>
      </c>
      <c r="L98" s="70" t="s">
        <v>65</v>
      </c>
    </row>
    <row r="99" spans="1:12" s="69" customFormat="1" ht="12.75">
      <c r="A99" s="66" t="s">
        <v>131</v>
      </c>
      <c r="B99" s="66"/>
      <c r="C99" s="66"/>
      <c r="D99" s="66" t="s">
        <v>77</v>
      </c>
      <c r="E99" s="66" t="s">
        <v>76</v>
      </c>
      <c r="F99" s="66" t="s">
        <v>87</v>
      </c>
      <c r="G99" s="67">
        <v>9191.6200000000008</v>
      </c>
      <c r="H99" s="66">
        <v>20</v>
      </c>
      <c r="I99" s="67">
        <f t="shared" si="5"/>
        <v>183832.40000000002</v>
      </c>
      <c r="J99" s="68">
        <v>1</v>
      </c>
      <c r="L99" s="70" t="s">
        <v>65</v>
      </c>
    </row>
    <row r="100" spans="1:12" s="69" customFormat="1" ht="12.75">
      <c r="A100" s="66" t="s">
        <v>131</v>
      </c>
      <c r="B100" s="66"/>
      <c r="C100" s="66"/>
      <c r="D100" s="66" t="s">
        <v>90</v>
      </c>
      <c r="E100" s="66" t="s">
        <v>76</v>
      </c>
      <c r="F100" s="66" t="s">
        <v>88</v>
      </c>
      <c r="G100" s="67">
        <v>11380.89</v>
      </c>
      <c r="H100" s="66">
        <v>4</v>
      </c>
      <c r="I100" s="67">
        <f t="shared" si="5"/>
        <v>45523.56</v>
      </c>
      <c r="J100" s="68">
        <v>1</v>
      </c>
      <c r="L100" s="70" t="s">
        <v>65</v>
      </c>
    </row>
    <row r="101" spans="1:12" s="69" customFormat="1" ht="12.75">
      <c r="A101" s="66" t="s">
        <v>131</v>
      </c>
      <c r="B101" s="66"/>
      <c r="C101" s="66"/>
      <c r="D101" s="66" t="s">
        <v>70</v>
      </c>
      <c r="E101" s="66" t="s">
        <v>76</v>
      </c>
      <c r="F101" s="66" t="s">
        <v>85</v>
      </c>
      <c r="G101" s="67">
        <v>1049.3399999999999</v>
      </c>
      <c r="H101" s="66">
        <v>24</v>
      </c>
      <c r="I101" s="67">
        <f t="shared" si="5"/>
        <v>25184.159999999996</v>
      </c>
      <c r="J101" s="68">
        <v>1</v>
      </c>
      <c r="L101" s="70" t="s">
        <v>65</v>
      </c>
    </row>
    <row r="102" spans="1:12" s="69" customFormat="1" ht="12.75">
      <c r="A102" s="66" t="s">
        <v>131</v>
      </c>
      <c r="B102" s="66"/>
      <c r="C102" s="66"/>
      <c r="D102" s="66" t="s">
        <v>100</v>
      </c>
      <c r="E102" s="66" t="s">
        <v>76</v>
      </c>
      <c r="F102" s="66" t="s">
        <v>89</v>
      </c>
      <c r="G102" s="67">
        <v>114.86</v>
      </c>
      <c r="H102" s="66">
        <v>24</v>
      </c>
      <c r="I102" s="67">
        <f t="shared" si="5"/>
        <v>2756.64</v>
      </c>
      <c r="J102" s="68">
        <v>1</v>
      </c>
      <c r="L102" s="70" t="s">
        <v>65</v>
      </c>
    </row>
    <row r="103" spans="1:12" s="69" customFormat="1" ht="12.75">
      <c r="A103" s="66" t="s">
        <v>131</v>
      </c>
      <c r="B103" s="66"/>
      <c r="C103" s="66"/>
      <c r="D103" s="66" t="s">
        <v>90</v>
      </c>
      <c r="E103" s="66" t="s">
        <v>76</v>
      </c>
      <c r="F103" s="66" t="s">
        <v>88</v>
      </c>
      <c r="G103" s="67">
        <v>214.11</v>
      </c>
      <c r="H103" s="66">
        <v>2</v>
      </c>
      <c r="I103" s="67">
        <f t="shared" si="5"/>
        <v>428.22</v>
      </c>
      <c r="J103" s="68">
        <v>1</v>
      </c>
      <c r="L103" s="70" t="s">
        <v>65</v>
      </c>
    </row>
    <row r="104" spans="1:12" s="69" customFormat="1" ht="12.75">
      <c r="A104" s="66" t="s">
        <v>131</v>
      </c>
      <c r="B104" s="66"/>
      <c r="C104" s="66"/>
      <c r="D104" s="66" t="s">
        <v>101</v>
      </c>
      <c r="E104" s="66" t="s">
        <v>76</v>
      </c>
      <c r="F104" s="66" t="s">
        <v>91</v>
      </c>
      <c r="G104" s="67">
        <v>3335.19</v>
      </c>
      <c r="H104" s="66">
        <v>4</v>
      </c>
      <c r="I104" s="67">
        <f t="shared" si="5"/>
        <v>13340.76</v>
      </c>
      <c r="J104" s="68">
        <v>1</v>
      </c>
      <c r="L104" s="70" t="s">
        <v>65</v>
      </c>
    </row>
    <row r="105" spans="1:12" s="69" customFormat="1" ht="12.75" hidden="1">
      <c r="A105" s="66" t="s">
        <v>131</v>
      </c>
      <c r="B105" s="66"/>
      <c r="C105" s="66"/>
      <c r="D105" s="66" t="s">
        <v>103</v>
      </c>
      <c r="E105" s="66" t="s">
        <v>76</v>
      </c>
      <c r="F105" s="66" t="s">
        <v>92</v>
      </c>
      <c r="G105" s="67">
        <v>0</v>
      </c>
      <c r="H105" s="66">
        <v>10</v>
      </c>
      <c r="I105" s="67">
        <f t="shared" si="5"/>
        <v>0</v>
      </c>
      <c r="J105" s="68">
        <v>1</v>
      </c>
      <c r="L105" s="70" t="s">
        <v>102</v>
      </c>
    </row>
    <row r="106" spans="1:12" s="69" customFormat="1" ht="12.75" hidden="1">
      <c r="A106" s="66" t="s">
        <v>131</v>
      </c>
      <c r="B106" s="66"/>
      <c r="C106" s="66"/>
      <c r="D106" s="66" t="s">
        <v>103</v>
      </c>
      <c r="E106" s="66" t="s">
        <v>76</v>
      </c>
      <c r="F106" s="66" t="s">
        <v>93</v>
      </c>
      <c r="G106" s="67">
        <v>0</v>
      </c>
      <c r="H106" s="66">
        <v>50</v>
      </c>
      <c r="I106" s="67">
        <f t="shared" si="5"/>
        <v>0</v>
      </c>
      <c r="J106" s="68">
        <v>1</v>
      </c>
      <c r="L106" s="70" t="s">
        <v>102</v>
      </c>
    </row>
    <row r="107" spans="1:12" s="69" customFormat="1" ht="12.75" hidden="1">
      <c r="A107" s="66" t="s">
        <v>131</v>
      </c>
      <c r="B107" s="66"/>
      <c r="C107" s="66"/>
      <c r="D107" s="66" t="s">
        <v>95</v>
      </c>
      <c r="E107" s="66" t="s">
        <v>76</v>
      </c>
      <c r="F107" s="66" t="s">
        <v>94</v>
      </c>
      <c r="G107" s="67">
        <v>0</v>
      </c>
      <c r="H107" s="66">
        <v>50</v>
      </c>
      <c r="I107" s="67">
        <f t="shared" si="5"/>
        <v>0</v>
      </c>
      <c r="J107" s="68">
        <v>1</v>
      </c>
      <c r="L107" s="70" t="s">
        <v>102</v>
      </c>
    </row>
    <row r="108" spans="1:12" s="69" customFormat="1" ht="12.75" hidden="1">
      <c r="A108" s="66" t="s">
        <v>131</v>
      </c>
      <c r="B108" s="66"/>
      <c r="C108" s="66"/>
      <c r="D108" s="66" t="s">
        <v>95</v>
      </c>
      <c r="E108" s="66" t="s">
        <v>76</v>
      </c>
      <c r="F108" s="66" t="s">
        <v>96</v>
      </c>
      <c r="G108" s="67">
        <v>0</v>
      </c>
      <c r="H108" s="66">
        <v>50</v>
      </c>
      <c r="I108" s="67">
        <f t="shared" si="5"/>
        <v>0</v>
      </c>
      <c r="J108" s="68">
        <v>1</v>
      </c>
      <c r="L108" s="70" t="s">
        <v>102</v>
      </c>
    </row>
    <row r="109" spans="1:12" s="69" customFormat="1" ht="12.75" hidden="1">
      <c r="A109" s="66" t="s">
        <v>131</v>
      </c>
      <c r="B109" s="66"/>
      <c r="C109" s="66"/>
      <c r="D109" s="66" t="s">
        <v>95</v>
      </c>
      <c r="E109" s="66" t="s">
        <v>76</v>
      </c>
      <c r="F109" s="66" t="s">
        <v>97</v>
      </c>
      <c r="G109" s="67">
        <v>0</v>
      </c>
      <c r="H109" s="66">
        <v>50</v>
      </c>
      <c r="I109" s="67">
        <f t="shared" si="5"/>
        <v>0</v>
      </c>
      <c r="J109" s="68">
        <v>1</v>
      </c>
      <c r="L109" s="70" t="s">
        <v>102</v>
      </c>
    </row>
    <row r="110" spans="1:12" s="69" customFormat="1" ht="12.75" hidden="1">
      <c r="A110" s="66" t="s">
        <v>131</v>
      </c>
      <c r="B110" s="66"/>
      <c r="C110" s="66"/>
      <c r="D110" s="66" t="s">
        <v>78</v>
      </c>
      <c r="E110" s="66" t="s">
        <v>76</v>
      </c>
      <c r="F110" s="66" t="s">
        <v>99</v>
      </c>
      <c r="G110" s="67">
        <v>0</v>
      </c>
      <c r="H110" s="66">
        <v>50</v>
      </c>
      <c r="I110" s="67">
        <f t="shared" si="5"/>
        <v>0</v>
      </c>
      <c r="J110" s="68">
        <v>1</v>
      </c>
      <c r="L110" s="70" t="s">
        <v>102</v>
      </c>
    </row>
    <row r="111" spans="1:12" s="69" customFormat="1" ht="12.75" hidden="1">
      <c r="A111" s="66" t="s">
        <v>131</v>
      </c>
      <c r="B111" s="66"/>
      <c r="C111" s="66"/>
      <c r="D111" s="66" t="s">
        <v>100</v>
      </c>
      <c r="E111" s="66" t="s">
        <v>76</v>
      </c>
      <c r="F111" s="66" t="s">
        <v>98</v>
      </c>
      <c r="G111" s="67">
        <v>0</v>
      </c>
      <c r="H111" s="66">
        <v>50</v>
      </c>
      <c r="I111" s="67">
        <f t="shared" si="5"/>
        <v>0</v>
      </c>
      <c r="J111" s="68">
        <v>1</v>
      </c>
      <c r="L111" s="70" t="s">
        <v>102</v>
      </c>
    </row>
    <row r="112" spans="1:12" ht="16.5" thickBot="1">
      <c r="I112" s="53">
        <f>SUBTOTAL(9,I2:I111)</f>
        <v>3987203.4299999992</v>
      </c>
    </row>
    <row r="113" ht="16.5" thickTop="1"/>
  </sheetData>
  <autoFilter ref="A1:L111" xr:uid="{D59FAE86-B034-4ED6-AB53-0CCEB15F7561}">
    <filterColumn colId="11">
      <filters>
        <filter val="alt"/>
        <filter val="spec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EvalSummary</vt:lpstr>
      <vt:lpstr>pricingEval</vt:lpstr>
      <vt:lpstr>Proposal</vt:lpstr>
      <vt:lpstr>bizReq</vt:lpstr>
      <vt:lpstr>VendorEval</vt:lpstr>
      <vt:lpstr>lineItem</vt:lpstr>
      <vt:lpstr>pricingEval!Print_Area</vt:lpstr>
      <vt:lpstr>Proposal!Print_Area</vt:lpstr>
      <vt:lpstr>VendorEval!Print_Area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Langston, Renee</cp:lastModifiedBy>
  <cp:lastPrinted>2022-09-29T17:43:37Z</cp:lastPrinted>
  <dcterms:created xsi:type="dcterms:W3CDTF">2017-09-29T16:00:11Z</dcterms:created>
  <dcterms:modified xsi:type="dcterms:W3CDTF">2026-03-24T12:27:16Z</dcterms:modified>
</cp:coreProperties>
</file>