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5-2026\Aug\"/>
    </mc:Choice>
  </mc:AlternateContent>
  <xr:revisionPtr revIDLastSave="0" documentId="13_ncr:1_{AF6581E5-120F-490F-8FB3-FD84DC7153A2}" xr6:coauthVersionLast="36" xr6:coauthVersionMax="36" xr10:uidLastSave="{00000000-0000-0000-0000-000000000000}"/>
  <bookViews>
    <workbookView xWindow="0" yWindow="0" windowWidth="19200" windowHeight="6930" tabRatio="603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0">'1351'!$C$1:$Y$64</definedName>
    <definedName name="_xlnm.Print_Area" localSheetId="1">'1361'!$C$1:$Y$66</definedName>
    <definedName name="_xlnm.Print_Area" localSheetId="2">'1401'!$C$1:$Y$66</definedName>
    <definedName name="_xlnm.Print_Area" localSheetId="3">'1421'!$C$1:$Y$66</definedName>
    <definedName name="_xlnm.Print_Area" localSheetId="4">'1601'!$C$1:$AD$66</definedName>
    <definedName name="_xlnm.Print_Area" localSheetId="5">'1621'!$C$1:$AD$67</definedName>
    <definedName name="_xlnm.Print_Area" localSheetId="6">'1721'!$C$1:$Y$66</definedName>
    <definedName name="_xlnm.Print_Area" localSheetId="7">'9000'!$C$1:$AN$64</definedName>
    <definedName name="_xlnm.Print_Area" localSheetId="9">'Consolidated Federal (420)'!$C$1:$AX$58</definedName>
    <definedName name="_xlnm.Print_Area" localSheetId="8">'Consolidated General'!$C$1:$AX$59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0" i="5" l="1"/>
  <c r="AA50" i="5"/>
  <c r="AA46" i="5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B42" i="6"/>
  <c r="AC42" i="6"/>
  <c r="AA43" i="6"/>
  <c r="AB43" i="6"/>
  <c r="AC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B51" i="6"/>
  <c r="AC51" i="6"/>
  <c r="AA52" i="6"/>
  <c r="AB52" i="6"/>
  <c r="AC52" i="6"/>
  <c r="AA26" i="6"/>
  <c r="AB26" i="6"/>
  <c r="AC26" i="6"/>
  <c r="AA27" i="6"/>
  <c r="AB27" i="6"/>
  <c r="AC27" i="6"/>
  <c r="AA28" i="6"/>
  <c r="AB28" i="6"/>
  <c r="AC28" i="6"/>
  <c r="AA29" i="6"/>
  <c r="AB29" i="6"/>
  <c r="AC29" i="6"/>
  <c r="AA30" i="6"/>
  <c r="AB30" i="6"/>
  <c r="AC30" i="6"/>
  <c r="AA31" i="6"/>
  <c r="AB31" i="6"/>
  <c r="AC31" i="6"/>
  <c r="AA32" i="6"/>
  <c r="AB32" i="6"/>
  <c r="AC32" i="6"/>
  <c r="AA21" i="6"/>
  <c r="AB21" i="6"/>
  <c r="AC21" i="6"/>
  <c r="AA22" i="6"/>
  <c r="AB22" i="6"/>
  <c r="AC22" i="6"/>
  <c r="AA23" i="6"/>
  <c r="AB23" i="6"/>
  <c r="AC23" i="6"/>
  <c r="AA24" i="6"/>
  <c r="AB24" i="6"/>
  <c r="AC24" i="6"/>
  <c r="I60" i="7" l="1"/>
  <c r="N40" i="8"/>
  <c r="N36" i="7" l="1"/>
  <c r="N37" i="6" l="1"/>
  <c r="N36" i="5"/>
  <c r="I58" i="5"/>
  <c r="I36" i="4"/>
  <c r="R51" i="2"/>
  <c r="I56" i="1"/>
  <c r="I51" i="1"/>
  <c r="I58" i="3" l="1"/>
  <c r="W52" i="5" l="1"/>
  <c r="J59" i="2" l="1"/>
  <c r="J43" i="8" l="1"/>
  <c r="J19" i="4" l="1"/>
  <c r="J24" i="4"/>
  <c r="J21" i="4"/>
  <c r="J22" i="4"/>
  <c r="J27" i="4"/>
  <c r="J29" i="4"/>
  <c r="J30" i="4"/>
  <c r="J56" i="4"/>
  <c r="J17" i="1"/>
  <c r="J19" i="1"/>
  <c r="J20" i="1"/>
  <c r="J25" i="1"/>
  <c r="J54" i="1"/>
  <c r="J22" i="1"/>
  <c r="J34" i="1"/>
  <c r="J19" i="2" l="1"/>
  <c r="J20" i="2"/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G58" i="5"/>
  <c r="I58" i="4"/>
  <c r="G58" i="4"/>
  <c r="G58" i="3"/>
  <c r="I58" i="2" l="1"/>
  <c r="I63" i="1"/>
  <c r="G58" i="2" l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P40" i="10"/>
  <c r="AQ40" i="10"/>
  <c r="AR40" i="10"/>
  <c r="AP41" i="10"/>
  <c r="AQ41" i="10"/>
  <c r="AR41" i="10"/>
  <c r="AS41" i="10" s="1"/>
  <c r="AP42" i="10"/>
  <c r="AQ42" i="10"/>
  <c r="AS42" i="10" s="1"/>
  <c r="AR42" i="10"/>
  <c r="AP43" i="10"/>
  <c r="AQ43" i="10"/>
  <c r="AR43" i="10"/>
  <c r="AP44" i="10"/>
  <c r="AQ44" i="10"/>
  <c r="AR44" i="10"/>
  <c r="AS44" i="10" s="1"/>
  <c r="AP45" i="10"/>
  <c r="AQ45" i="10"/>
  <c r="AR45" i="10"/>
  <c r="AS45" i="10" s="1"/>
  <c r="AP46" i="10"/>
  <c r="AQ46" i="10"/>
  <c r="AR46" i="10"/>
  <c r="AP47" i="10"/>
  <c r="AQ47" i="10"/>
  <c r="AR47" i="10"/>
  <c r="AS47" i="10" s="1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N35" i="10" s="1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L30" i="10" s="1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N14" i="10" s="1"/>
  <c r="AL14" i="10"/>
  <c r="AK14" i="10"/>
  <c r="AF35" i="10"/>
  <c r="AG35" i="10"/>
  <c r="AH35" i="10"/>
  <c r="AI35" i="10" s="1"/>
  <c r="AF36" i="10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D35" i="10" s="1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D34" i="10" s="1"/>
  <c r="AC34" i="10"/>
  <c r="AA34" i="10"/>
  <c r="AA15" i="10"/>
  <c r="AB15" i="10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W35" i="10"/>
  <c r="X35" i="10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T34" i="10" s="1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H30" i="10" s="1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D47" i="10"/>
  <c r="Y47" i="10"/>
  <c r="AI46" i="10"/>
  <c r="Y46" i="10"/>
  <c r="AI45" i="10"/>
  <c r="AD44" i="10"/>
  <c r="O44" i="10"/>
  <c r="AN43" i="10"/>
  <c r="AI43" i="10"/>
  <c r="AD43" i="10"/>
  <c r="Y43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F30" i="10"/>
  <c r="L30" i="10"/>
  <c r="AN29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A15" i="10"/>
  <c r="AG30" i="10"/>
  <c r="AD14" i="10"/>
  <c r="Y14" i="10"/>
  <c r="T14" i="10"/>
  <c r="O14" i="10"/>
  <c r="A14" i="10"/>
  <c r="A13" i="10"/>
  <c r="E6" i="10"/>
  <c r="E7" i="10" s="1"/>
  <c r="Y35" i="10" l="1"/>
  <c r="V50" i="10"/>
  <c r="AS15" i="10"/>
  <c r="Y15" i="10"/>
  <c r="AS39" i="10"/>
  <c r="AN15" i="10"/>
  <c r="AF50" i="10"/>
  <c r="AF51" i="10" s="1"/>
  <c r="AB50" i="10"/>
  <c r="AD15" i="10"/>
  <c r="W30" i="10"/>
  <c r="Y30" i="10" s="1"/>
  <c r="AQ50" i="10"/>
  <c r="AL50" i="10"/>
  <c r="AL51" i="10" s="1"/>
  <c r="AL58" i="10" s="1"/>
  <c r="AM50" i="10"/>
  <c r="AG50" i="10"/>
  <c r="AG51" i="10" s="1"/>
  <c r="Q50" i="10"/>
  <c r="R50" i="10"/>
  <c r="R51" i="10" s="1"/>
  <c r="R58" i="10" s="1"/>
  <c r="AW15" i="10"/>
  <c r="O35" i="10"/>
  <c r="N30" i="10"/>
  <c r="AW14" i="10"/>
  <c r="M50" i="10"/>
  <c r="AV48" i="10"/>
  <c r="AV44" i="10"/>
  <c r="AV36" i="10"/>
  <c r="AV14" i="10"/>
  <c r="AV45" i="10"/>
  <c r="AV41" i="10"/>
  <c r="AV47" i="10"/>
  <c r="AV39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AW41" i="10"/>
  <c r="AX41" i="10" s="1"/>
  <c r="AW40" i="10"/>
  <c r="AW24" i="10"/>
  <c r="AX24" i="10" s="1"/>
  <c r="AV25" i="10"/>
  <c r="L50" i="10"/>
  <c r="L51" i="10" s="1"/>
  <c r="N50" i="10"/>
  <c r="AW35" i="10"/>
  <c r="AV42" i="10"/>
  <c r="AV38" i="10"/>
  <c r="AW22" i="10"/>
  <c r="AX22" i="10" s="1"/>
  <c r="AW18" i="10"/>
  <c r="AX18" i="10" s="1"/>
  <c r="AV22" i="10"/>
  <c r="AV18" i="10"/>
  <c r="G50" i="10"/>
  <c r="G30" i="10"/>
  <c r="Q30" i="10"/>
  <c r="AU15" i="10"/>
  <c r="V30" i="10"/>
  <c r="V51" i="10" s="1"/>
  <c r="AN56" i="10"/>
  <c r="Y56" i="10"/>
  <c r="AD40" i="10"/>
  <c r="AV15" i="10"/>
  <c r="AV29" i="10"/>
  <c r="H50" i="10"/>
  <c r="H51" i="10" s="1"/>
  <c r="H58" i="10" s="1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M30" i="10"/>
  <c r="AW47" i="10"/>
  <c r="AQ30" i="10"/>
  <c r="AV20" i="10"/>
  <c r="AW26" i="10"/>
  <c r="AX26" i="10" s="1"/>
  <c r="AV35" i="10"/>
  <c r="AW39" i="10"/>
  <c r="AW48" i="10"/>
  <c r="AX48" i="10" s="1"/>
  <c r="AC50" i="10"/>
  <c r="AW54" i="10"/>
  <c r="AG56" i="10"/>
  <c r="O55" i="10"/>
  <c r="S56" i="10"/>
  <c r="T56" i="10" s="1"/>
  <c r="AI14" i="10"/>
  <c r="O27" i="10"/>
  <c r="AW19" i="10"/>
  <c r="O22" i="10"/>
  <c r="O25" i="10"/>
  <c r="AV17" i="10"/>
  <c r="AB30" i="10"/>
  <c r="AR30" i="10"/>
  <c r="AW17" i="10"/>
  <c r="T22" i="10"/>
  <c r="O34" i="10"/>
  <c r="Y36" i="10"/>
  <c r="Y45" i="10"/>
  <c r="AI56" i="10"/>
  <c r="AW21" i="10"/>
  <c r="AX21" i="10" s="1"/>
  <c r="S30" i="10"/>
  <c r="M30" i="10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AN34" i="10"/>
  <c r="AW37" i="10"/>
  <c r="AW46" i="10"/>
  <c r="AR50" i="10"/>
  <c r="AS54" i="10"/>
  <c r="AS46" i="10"/>
  <c r="AV19" i="10"/>
  <c r="X50" i="10"/>
  <c r="N56" i="10"/>
  <c r="O56" i="10" s="1"/>
  <c r="AS14" i="10"/>
  <c r="O50" i="10" l="1"/>
  <c r="AI50" i="10"/>
  <c r="AD50" i="10"/>
  <c r="M51" i="10"/>
  <c r="M58" i="10" s="1"/>
  <c r="AX14" i="10"/>
  <c r="AN50" i="10"/>
  <c r="AB51" i="10"/>
  <c r="AB58" i="10" s="1"/>
  <c r="W51" i="10"/>
  <c r="W58" i="10" s="1"/>
  <c r="Q51" i="10"/>
  <c r="AV50" i="10"/>
  <c r="AS50" i="10"/>
  <c r="AQ51" i="10"/>
  <c r="AQ58" i="10" s="1"/>
  <c r="T50" i="10"/>
  <c r="G51" i="10"/>
  <c r="AX44" i="10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U38" i="10"/>
  <c r="AD30" i="10"/>
  <c r="AC51" i="10"/>
  <c r="AX34" i="10"/>
  <c r="AW50" i="10"/>
  <c r="X51" i="10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U18" i="10"/>
  <c r="C4" i="8"/>
  <c r="AD51" i="10" l="1"/>
  <c r="Y51" i="10"/>
  <c r="AS51" i="10"/>
  <c r="AV51" i="10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E6" i="9" l="1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S14" i="9" s="1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N15" i="9" s="1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I15" i="9" s="1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D15" i="9" s="1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M56" i="9" l="1"/>
  <c r="AV15" i="9"/>
  <c r="AV14" i="9"/>
  <c r="AW15" i="9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V46" i="9" s="1"/>
  <c r="AA46" i="9" s="1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W56" i="9" l="1"/>
  <c r="AV56" i="9"/>
  <c r="AN56" i="9"/>
  <c r="AV30" i="9"/>
  <c r="AW30" i="9"/>
  <c r="M51" i="9"/>
  <c r="M58" i="9" s="1"/>
  <c r="AI56" i="9"/>
  <c r="AX54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C37" i="6"/>
  <c r="AB37" i="6"/>
  <c r="AA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B46" i="5"/>
  <c r="AC46" i="5"/>
  <c r="AA47" i="5"/>
  <c r="AB47" i="5"/>
  <c r="AC47" i="5"/>
  <c r="AA48" i="5"/>
  <c r="AB48" i="5"/>
  <c r="AC48" i="5"/>
  <c r="AA49" i="5"/>
  <c r="AB49" i="5"/>
  <c r="AC49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B20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J21" i="6"/>
  <c r="O21" i="6"/>
  <c r="T21" i="6"/>
  <c r="J21" i="5"/>
  <c r="O21" i="5"/>
  <c r="T21" i="5"/>
  <c r="Y20" i="5"/>
  <c r="Y21" i="5"/>
  <c r="AA21" i="5"/>
  <c r="AB21" i="5"/>
  <c r="AC21" i="5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I58" i="8" s="1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63" i="8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N51" i="8" s="1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O29" i="8"/>
  <c r="Y51" i="6"/>
  <c r="W53" i="6"/>
  <c r="Y31" i="6"/>
  <c r="W33" i="6"/>
  <c r="V33" i="6"/>
  <c r="T31" i="6"/>
  <c r="AD31" i="6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H33" i="6"/>
  <c r="G33" i="6"/>
  <c r="G54" i="6" s="1"/>
  <c r="G61" i="6" s="1"/>
  <c r="AD32" i="6"/>
  <c r="T32" i="6"/>
  <c r="O32" i="6"/>
  <c r="J32" i="6"/>
  <c r="A32" i="6"/>
  <c r="AD30" i="6"/>
  <c r="T30" i="6"/>
  <c r="O30" i="6"/>
  <c r="J30" i="6"/>
  <c r="A30" i="6"/>
  <c r="T29" i="6"/>
  <c r="O29" i="6"/>
  <c r="J29" i="6"/>
  <c r="A29" i="6"/>
  <c r="AD28" i="6"/>
  <c r="T28" i="6"/>
  <c r="O28" i="6"/>
  <c r="J28" i="6"/>
  <c r="A28" i="6"/>
  <c r="T27" i="6"/>
  <c r="O27" i="6"/>
  <c r="J27" i="6"/>
  <c r="A27" i="6"/>
  <c r="AD26" i="6"/>
  <c r="T26" i="6"/>
  <c r="O26" i="6"/>
  <c r="J26" i="6"/>
  <c r="A26" i="6"/>
  <c r="A25" i="6"/>
  <c r="T24" i="6"/>
  <c r="O24" i="6"/>
  <c r="J24" i="6"/>
  <c r="A24" i="6"/>
  <c r="AD23" i="6"/>
  <c r="T23" i="6"/>
  <c r="O23" i="6"/>
  <c r="J23" i="6"/>
  <c r="A23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A30" i="4"/>
  <c r="X29" i="4"/>
  <c r="W29" i="4"/>
  <c r="V29" i="4"/>
  <c r="T29" i="4"/>
  <c r="O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A22" i="4"/>
  <c r="T20" i="4"/>
  <c r="O20" i="4"/>
  <c r="J20" i="4"/>
  <c r="A20" i="4"/>
  <c r="X19" i="4"/>
  <c r="W19" i="4"/>
  <c r="V19" i="4"/>
  <c r="T19" i="4"/>
  <c r="O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A20" i="2"/>
  <c r="X19" i="2"/>
  <c r="W19" i="2"/>
  <c r="V19" i="2"/>
  <c r="T19" i="2"/>
  <c r="O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I60" i="5" s="1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I53" i="3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H65" i="5" l="1"/>
  <c r="O53" i="3"/>
  <c r="I65" i="7"/>
  <c r="I65" i="4"/>
  <c r="I65" i="3"/>
  <c r="I65" i="2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7" i="1"/>
  <c r="Q50" i="1"/>
  <c r="J27" i="1"/>
  <c r="Y37" i="1"/>
  <c r="Y45" i="1"/>
  <c r="S30" i="1"/>
  <c r="T14" i="1"/>
  <c r="T36" i="1"/>
  <c r="T44" i="1"/>
  <c r="T55" i="1"/>
  <c r="L30" i="1"/>
  <c r="J26" i="1"/>
  <c r="Y27" i="1"/>
  <c r="O26" i="1"/>
  <c r="Y38" i="1"/>
  <c r="Y46" i="1"/>
  <c r="T28" i="1"/>
  <c r="T37" i="1"/>
  <c r="T45" i="1"/>
  <c r="O35" i="1"/>
  <c r="Y35" i="1"/>
  <c r="R56" i="1"/>
  <c r="Q3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<sst xmlns="http://schemas.openxmlformats.org/spreadsheetml/2006/main" count="1722" uniqueCount="106">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</sst>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41" fontId="2" fillId="0" borderId="1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9" fontId="2" fillId="0" borderId="2" xfId="3" applyFont="1" applyFill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41" fontId="2" fillId="0" borderId="2" xfId="3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0" xfId="4" applyFont="1" applyFill="1" applyBorder="1" applyAlignment="1" applyProtection="1">
      <alignment horizontal="center"/>
      <protection locked="0"/>
    </xf>
    <xf numFmtId="9" fontId="2" fillId="0" borderId="7" xfId="3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42" fontId="2" fillId="0" borderId="7" xfId="2" applyNumberFormat="1" applyFont="1" applyFill="1" applyBorder="1" applyAlignment="1">
      <alignment horizontal="right"/>
    </xf>
    <xf numFmtId="42" fontId="2" fillId="0" borderId="1" xfId="2" applyNumberFormat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>
    <pageSetUpPr fitToPage="1"/>
  </sheetPr>
  <dimension ref="A1:Z66"/>
  <sheetViews>
    <sheetView tabSelected="1" topLeftCell="C1" zoomScale="70" zoomScaleNormal="70" zoomScalePageLayoutView="50" workbookViewId="0">
      <selection activeCell="L9" sqref="L9:O9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6.7109375" style="14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49" t="s">
        <v>50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6" ht="23.25" x14ac:dyDescent="0.35">
      <c r="A2" s="45"/>
      <c r="B2" s="46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6" ht="23.25" x14ac:dyDescent="0.35">
      <c r="A3" s="45"/>
      <c r="B3" s="46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6" ht="23.25" x14ac:dyDescent="0.35">
      <c r="A4" s="45"/>
      <c r="B4" s="46"/>
      <c r="C4" s="149" t="s">
        <v>105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7"/>
      <c r="P5" s="17"/>
      <c r="Q5" s="17"/>
      <c r="R5" s="17"/>
      <c r="S5" s="17"/>
      <c r="T5" s="17"/>
      <c r="U5" s="17"/>
      <c r="V5" s="17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17"/>
      <c r="P6" s="17"/>
      <c r="Q6" s="17"/>
      <c r="R6" s="17"/>
      <c r="S6" s="17"/>
      <c r="T6" s="17"/>
      <c r="U6" s="17"/>
      <c r="V6" s="17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53" t="s">
        <v>5</v>
      </c>
      <c r="H9" s="154"/>
      <c r="I9" s="154"/>
      <c r="J9" s="155"/>
      <c r="K9" s="9"/>
      <c r="L9" s="153" t="s">
        <v>7</v>
      </c>
      <c r="M9" s="154"/>
      <c r="N9" s="154"/>
      <c r="O9" s="155"/>
      <c r="P9" s="137"/>
      <c r="Q9" s="150" t="s">
        <v>8</v>
      </c>
      <c r="R9" s="151"/>
      <c r="S9" s="151"/>
      <c r="T9" s="152"/>
      <c r="U9" s="137"/>
      <c r="V9" s="153" t="s">
        <v>9</v>
      </c>
      <c r="W9" s="154"/>
      <c r="X9" s="154"/>
      <c r="Y9" s="154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41" t="s">
        <v>14</v>
      </c>
      <c r="P10" s="138"/>
      <c r="Q10" s="41" t="s">
        <v>11</v>
      </c>
      <c r="R10" s="41" t="s">
        <v>12</v>
      </c>
      <c r="S10" s="41" t="s">
        <v>13</v>
      </c>
      <c r="T10" s="41" t="s">
        <v>14</v>
      </c>
      <c r="U10" s="138"/>
      <c r="V10" s="41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7"/>
      <c r="P11" s="17"/>
      <c r="Q11" s="17"/>
      <c r="R11" s="17"/>
      <c r="S11" s="17"/>
      <c r="T11" s="17"/>
      <c r="U11" s="17"/>
      <c r="V11" s="17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7"/>
      <c r="P12" s="17"/>
      <c r="Q12" s="17"/>
      <c r="R12" s="17"/>
      <c r="S12" s="17"/>
      <c r="T12" s="17"/>
      <c r="U12" s="17"/>
      <c r="V12" s="17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20" t="str">
        <f>IF(N14=0,"%",M14/N14)</f>
        <v>%</v>
      </c>
      <c r="P14" s="21"/>
      <c r="Q14" s="19">
        <v>0</v>
      </c>
      <c r="R14" s="19">
        <v>0</v>
      </c>
      <c r="S14" s="19">
        <v>0</v>
      </c>
      <c r="T14" s="20" t="str">
        <f>IF(S14=0,"%",R14/S14)</f>
        <v>%</v>
      </c>
      <c r="U14" s="21"/>
      <c r="V14" s="19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32075.439999999999</v>
      </c>
      <c r="M15" s="19">
        <v>33115.69</v>
      </c>
      <c r="N15" s="19">
        <v>398120.46</v>
      </c>
      <c r="O15" s="20">
        <f>IF(N15=0,"%",M15/N15)</f>
        <v>8.3180075698696829E-2</v>
      </c>
      <c r="P15" s="25"/>
      <c r="Q15" s="19">
        <v>0</v>
      </c>
      <c r="R15" s="19">
        <v>0</v>
      </c>
      <c r="S15" s="19">
        <v>0</v>
      </c>
      <c r="T15" s="20" t="str">
        <f>IF(S15=0,"%",R15/S15)</f>
        <v>%</v>
      </c>
      <c r="U15" s="25"/>
      <c r="V15" s="19">
        <f t="shared" si="1"/>
        <v>32075.439999999999</v>
      </c>
      <c r="W15" s="23">
        <f t="shared" si="1"/>
        <v>33115.69</v>
      </c>
      <c r="X15" s="23">
        <f t="shared" si="1"/>
        <v>398120.46</v>
      </c>
      <c r="Y15" s="8">
        <f>IF(X15=0,"%",W15/X15)</f>
        <v>8.3180075698696829E-2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20"/>
      <c r="P16" s="17"/>
      <c r="Q16" s="19"/>
      <c r="R16" s="19"/>
      <c r="S16" s="19"/>
      <c r="T16" s="20"/>
      <c r="U16" s="17"/>
      <c r="V16" s="19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309759.7</v>
      </c>
      <c r="H17" s="19">
        <v>619589.79</v>
      </c>
      <c r="I17" s="19">
        <v>3647101</v>
      </c>
      <c r="J17" s="20">
        <f t="shared" si="2"/>
        <v>0.1698855584202357</v>
      </c>
      <c r="K17" s="25"/>
      <c r="L17" s="19">
        <v>0</v>
      </c>
      <c r="M17" s="19">
        <v>0</v>
      </c>
      <c r="N17" s="19">
        <v>0</v>
      </c>
      <c r="O17" s="20" t="str">
        <f t="shared" ref="O17:O22" si="3">IF(N17=0,"%",M17/N17)</f>
        <v>%</v>
      </c>
      <c r="P17" s="25"/>
      <c r="Q17" s="19">
        <v>0</v>
      </c>
      <c r="R17" s="19">
        <v>0</v>
      </c>
      <c r="S17" s="19">
        <v>0</v>
      </c>
      <c r="T17" s="20" t="str">
        <f t="shared" ref="T17:T22" si="4">IF(S17=0,"%",R17/S17)</f>
        <v>%</v>
      </c>
      <c r="U17" s="25"/>
      <c r="V17" s="19">
        <f t="shared" ref="V17:X22" si="5">G17+L17+Q17</f>
        <v>309759.7</v>
      </c>
      <c r="W17" s="23">
        <f t="shared" si="5"/>
        <v>619589.79</v>
      </c>
      <c r="X17" s="23">
        <f t="shared" si="5"/>
        <v>3647101</v>
      </c>
      <c r="Y17" s="8">
        <f t="shared" ref="Y17:Y22" si="6">IF(X17=0,"%",W17/X17)</f>
        <v>0.1698855584202357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6458.22</v>
      </c>
      <c r="H19" s="19">
        <v>12812.04</v>
      </c>
      <c r="I19" s="19">
        <v>70936</v>
      </c>
      <c r="J19" s="20">
        <f t="shared" si="2"/>
        <v>0.18061407465884743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f t="shared" si="5"/>
        <v>6458.22</v>
      </c>
      <c r="W19" s="23">
        <f t="shared" si="5"/>
        <v>12812.04</v>
      </c>
      <c r="X19" s="23">
        <f t="shared" si="5"/>
        <v>70936</v>
      </c>
      <c r="Y19" s="8">
        <f t="shared" si="6"/>
        <v>0.18061407465884743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49289.279999999999</v>
      </c>
      <c r="H20" s="19">
        <v>98154.46</v>
      </c>
      <c r="I20" s="19">
        <v>546006</v>
      </c>
      <c r="J20" s="20">
        <f t="shared" si="2"/>
        <v>0.17976809778647121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49289.279999999999</v>
      </c>
      <c r="W20" s="23">
        <f t="shared" si="5"/>
        <v>98154.46</v>
      </c>
      <c r="X20" s="23">
        <f t="shared" si="5"/>
        <v>546006</v>
      </c>
      <c r="Y20" s="8">
        <f t="shared" si="6"/>
        <v>0.17976809778647121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0</v>
      </c>
      <c r="I22" s="19">
        <v>0</v>
      </c>
      <c r="J22" s="20" t="str">
        <f t="shared" si="2"/>
        <v>%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0</v>
      </c>
      <c r="X22" s="23">
        <f t="shared" si="5"/>
        <v>0</v>
      </c>
      <c r="Y22" s="8" t="str">
        <f t="shared" si="6"/>
        <v>%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20"/>
      <c r="P23" s="17"/>
      <c r="Q23" s="19"/>
      <c r="R23" s="19"/>
      <c r="S23" s="19"/>
      <c r="T23" s="20"/>
      <c r="U23" s="17"/>
      <c r="V23" s="19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ref="O24:O29" si="7">IF(N24=0,"%",M24/N24)</f>
        <v>%</v>
      </c>
      <c r="P24" s="28"/>
      <c r="Q24" s="19">
        <v>0</v>
      </c>
      <c r="R24" s="19">
        <v>0</v>
      </c>
      <c r="S24" s="19">
        <v>0</v>
      </c>
      <c r="T24" s="20" t="str">
        <f t="shared" ref="T24:T29" si="8">IF(S24=0,"%",R24/S24)</f>
        <v>%</v>
      </c>
      <c r="U24" s="28"/>
      <c r="V24" s="19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20086.849999999999</v>
      </c>
      <c r="H25" s="19">
        <v>40480.300000000003</v>
      </c>
      <c r="I25" s="19">
        <v>238542</v>
      </c>
      <c r="J25" s="20">
        <f t="shared" si="2"/>
        <v>0.16969883710206171</v>
      </c>
      <c r="K25" s="28"/>
      <c r="L25" s="19">
        <v>0</v>
      </c>
      <c r="M25" s="19">
        <v>0</v>
      </c>
      <c r="N25" s="19">
        <v>0</v>
      </c>
      <c r="O25" s="20" t="str">
        <f t="shared" si="7"/>
        <v>%</v>
      </c>
      <c r="P25" s="28"/>
      <c r="Q25" s="19">
        <v>0</v>
      </c>
      <c r="R25" s="19">
        <v>0</v>
      </c>
      <c r="S25" s="19">
        <v>0</v>
      </c>
      <c r="T25" s="20" t="str">
        <f t="shared" si="8"/>
        <v>%</v>
      </c>
      <c r="U25" s="28"/>
      <c r="V25" s="19">
        <f t="shared" si="9"/>
        <v>20086.849999999999</v>
      </c>
      <c r="W25" s="23">
        <f t="shared" si="9"/>
        <v>40480.300000000003</v>
      </c>
      <c r="X25" s="23">
        <f t="shared" si="9"/>
        <v>238542</v>
      </c>
      <c r="Y25" s="8">
        <f t="shared" si="10"/>
        <v>0.16969883710206171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si="7"/>
        <v>%</v>
      </c>
      <c r="P26" s="28"/>
      <c r="Q26" s="19">
        <v>0</v>
      </c>
      <c r="R26" s="19">
        <v>0</v>
      </c>
      <c r="S26" s="19">
        <v>0</v>
      </c>
      <c r="T26" s="20" t="str">
        <f t="shared" si="8"/>
        <v>%</v>
      </c>
      <c r="U26" s="28"/>
      <c r="V26" s="19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20" t="str">
        <f t="shared" si="7"/>
        <v>%</v>
      </c>
      <c r="P29" s="28"/>
      <c r="Q29" s="19">
        <v>18221.990000000002</v>
      </c>
      <c r="R29" s="19">
        <v>22813.75</v>
      </c>
      <c r="S29" s="19">
        <v>0</v>
      </c>
      <c r="T29" s="20" t="str">
        <f t="shared" si="8"/>
        <v>%</v>
      </c>
      <c r="U29" s="28"/>
      <c r="V29" s="19">
        <f t="shared" si="9"/>
        <v>18221.990000000002</v>
      </c>
      <c r="W29" s="23">
        <f t="shared" si="9"/>
        <v>22813.75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385594.04999999993</v>
      </c>
      <c r="H30" s="57">
        <f>SUM(H14:H29)</f>
        <v>771036.59000000008</v>
      </c>
      <c r="I30" s="57">
        <f>SUM(I14:I29)</f>
        <v>4502585</v>
      </c>
      <c r="J30" s="31">
        <f>IF(I30=0,"",H30/I30)</f>
        <v>0.17124309479998714</v>
      </c>
      <c r="K30" s="29"/>
      <c r="L30" s="57">
        <f>SUM(L14:L29)</f>
        <v>32075.439999999999</v>
      </c>
      <c r="M30" s="57">
        <f>SUM(M14:M29)</f>
        <v>33115.69</v>
      </c>
      <c r="N30" s="57">
        <f>SUM(N14:N29)</f>
        <v>398120.46</v>
      </c>
      <c r="O30" s="139">
        <f>IF(N30=0,"",M30/N30)</f>
        <v>8.3180075698696829E-2</v>
      </c>
      <c r="P30" s="28"/>
      <c r="Q30" s="71">
        <f>SUM(Q14:Q29)</f>
        <v>18221.990000000002</v>
      </c>
      <c r="R30" s="71">
        <f>SUM(R14:R29)</f>
        <v>22813.75</v>
      </c>
      <c r="S30" s="71">
        <f>SUM(S14:S29)</f>
        <v>0</v>
      </c>
      <c r="T30" s="139" t="str">
        <f>IF(S30=0,"",R30/S30)</f>
        <v/>
      </c>
      <c r="U30" s="28"/>
      <c r="V30" s="71">
        <f>SUM(V14:V29)</f>
        <v>435891.48</v>
      </c>
      <c r="W30" s="57">
        <f>SUM(W14:W29)</f>
        <v>826966.03</v>
      </c>
      <c r="X30" s="57">
        <f>SUM(X14:X29)</f>
        <v>4900705.46</v>
      </c>
      <c r="Y30" s="31">
        <f>IF(X30=0,"",W30/X30)</f>
        <v>0.1687442831955055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20"/>
      <c r="P31" s="28"/>
      <c r="Q31" s="28"/>
      <c r="R31" s="28"/>
      <c r="S31" s="28"/>
      <c r="T31" s="20"/>
      <c r="U31" s="28"/>
      <c r="V31" s="28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20"/>
      <c r="P32" s="28"/>
      <c r="Q32" s="28"/>
      <c r="R32" s="28"/>
      <c r="S32" s="28"/>
      <c r="T32" s="20"/>
      <c r="U32" s="28"/>
      <c r="V32" s="28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253129.13999999998</v>
      </c>
      <c r="H34" s="19">
        <v>274169.8899999999</v>
      </c>
      <c r="I34" s="19">
        <v>3036242.41</v>
      </c>
      <c r="J34" s="8">
        <f t="shared" ref="J34:J49" si="11">IF(I34=0,"%",H34/I34)</f>
        <v>9.0299077931659574E-2</v>
      </c>
      <c r="K34" s="29"/>
      <c r="L34" s="19">
        <v>12619.73</v>
      </c>
      <c r="M34" s="19">
        <v>13659.98</v>
      </c>
      <c r="N34" s="19">
        <v>157126.39000000001</v>
      </c>
      <c r="O34" s="20">
        <f t="shared" ref="O34:O48" si="12">IF(N34=0,"%",M34/N34)</f>
        <v>8.6936255583801025E-2</v>
      </c>
      <c r="P34" s="28"/>
      <c r="Q34" s="19">
        <v>0</v>
      </c>
      <c r="R34" s="19">
        <v>0</v>
      </c>
      <c r="S34" s="19">
        <v>0</v>
      </c>
      <c r="T34" s="20" t="str">
        <f t="shared" ref="T34:T49" si="13">IF(S34=0,"%",R34/S34)</f>
        <v>%</v>
      </c>
      <c r="U34" s="28"/>
      <c r="V34" s="19">
        <f t="shared" ref="V34:V49" si="14">G34+L34+Q34</f>
        <v>265748.87</v>
      </c>
      <c r="W34" s="23">
        <f t="shared" ref="W34:W49" si="15">H34+M34+R34</f>
        <v>287829.86999999988</v>
      </c>
      <c r="X34" s="23">
        <f t="shared" ref="X34:X49" si="16">I34+N34+S34</f>
        <v>3193368.8000000003</v>
      </c>
      <c r="Y34" s="8">
        <f t="shared" ref="Y34:Y48" si="17">IF(X34=0,"%",W34/X34)</f>
        <v>9.013361375610604E-2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13877.22</v>
      </c>
      <c r="H35" s="19">
        <v>13877.22</v>
      </c>
      <c r="I35" s="19">
        <v>168501.10000000003</v>
      </c>
      <c r="J35" s="8">
        <f t="shared" si="11"/>
        <v>8.2356851082871246E-2</v>
      </c>
      <c r="K35" s="29"/>
      <c r="L35" s="19">
        <v>19455.71</v>
      </c>
      <c r="M35" s="19">
        <v>19455.71</v>
      </c>
      <c r="N35" s="19">
        <v>240994.08</v>
      </c>
      <c r="O35" s="20">
        <f t="shared" si="12"/>
        <v>8.0731070240397607E-2</v>
      </c>
      <c r="P35" s="28"/>
      <c r="Q35" s="19">
        <v>0</v>
      </c>
      <c r="R35" s="19">
        <v>0</v>
      </c>
      <c r="S35" s="19">
        <v>0</v>
      </c>
      <c r="T35" s="20" t="str">
        <f t="shared" si="13"/>
        <v>%</v>
      </c>
      <c r="U35" s="28"/>
      <c r="V35" s="19">
        <f t="shared" si="14"/>
        <v>33332.93</v>
      </c>
      <c r="W35" s="23">
        <f t="shared" si="15"/>
        <v>33332.93</v>
      </c>
      <c r="X35" s="23">
        <f t="shared" si="16"/>
        <v>409495.18000000005</v>
      </c>
      <c r="Y35" s="8">
        <f t="shared" si="17"/>
        <v>8.1400054574512937E-2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0</v>
      </c>
      <c r="H36" s="19">
        <v>0</v>
      </c>
      <c r="I36" s="19">
        <v>18000</v>
      </c>
      <c r="J36" s="8">
        <f t="shared" si="11"/>
        <v>0</v>
      </c>
      <c r="K36" s="29"/>
      <c r="L36" s="23">
        <v>0</v>
      </c>
      <c r="M36" s="23">
        <v>0</v>
      </c>
      <c r="N36" s="23">
        <v>0</v>
      </c>
      <c r="O36" s="20" t="str">
        <f t="shared" si="12"/>
        <v>%</v>
      </c>
      <c r="P36" s="28"/>
      <c r="Q36" s="19">
        <v>0</v>
      </c>
      <c r="R36" s="19">
        <v>0</v>
      </c>
      <c r="S36" s="19">
        <v>0</v>
      </c>
      <c r="T36" s="20" t="str">
        <f t="shared" si="13"/>
        <v>%</v>
      </c>
      <c r="U36" s="28"/>
      <c r="V36" s="19">
        <f t="shared" si="14"/>
        <v>0</v>
      </c>
      <c r="W36" s="23">
        <f t="shared" si="15"/>
        <v>0</v>
      </c>
      <c r="X36" s="23">
        <f t="shared" si="16"/>
        <v>18000</v>
      </c>
      <c r="Y36" s="8">
        <f t="shared" si="17"/>
        <v>0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20" t="str">
        <f t="shared" si="12"/>
        <v>%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39115.090000000004</v>
      </c>
      <c r="H38" s="19">
        <v>75674.740000000005</v>
      </c>
      <c r="I38" s="19">
        <v>475535.99</v>
      </c>
      <c r="J38" s="8">
        <f t="shared" si="11"/>
        <v>0.15913567341138576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39115.090000000004</v>
      </c>
      <c r="W38" s="23">
        <f t="shared" si="15"/>
        <v>75674.740000000005</v>
      </c>
      <c r="X38" s="23">
        <f t="shared" si="16"/>
        <v>475535.99</v>
      </c>
      <c r="Y38" s="8">
        <f t="shared" si="17"/>
        <v>0.15913567341138576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1928.02</v>
      </c>
      <c r="H40" s="19">
        <v>3849.99</v>
      </c>
      <c r="I40" s="19">
        <v>20670</v>
      </c>
      <c r="J40" s="8">
        <f t="shared" si="11"/>
        <v>0.18625979680696661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1928.02</v>
      </c>
      <c r="W40" s="23">
        <f t="shared" si="15"/>
        <v>3849.99</v>
      </c>
      <c r="X40" s="23">
        <f t="shared" si="16"/>
        <v>20670</v>
      </c>
      <c r="Y40" s="8">
        <f t="shared" si="17"/>
        <v>0.18625979680696661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4</v>
      </c>
      <c r="J42" s="8">
        <f t="shared" si="11"/>
        <v>0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0</v>
      </c>
      <c r="X42" s="23">
        <f t="shared" si="16"/>
        <v>4</v>
      </c>
      <c r="Y42" s="8">
        <f t="shared" si="17"/>
        <v>0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30176.799999999999</v>
      </c>
      <c r="H44" s="19">
        <v>82379.72</v>
      </c>
      <c r="I44" s="19">
        <v>407399.33999999997</v>
      </c>
      <c r="J44" s="8">
        <f t="shared" si="11"/>
        <v>0.2022087713740528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30176.799999999999</v>
      </c>
      <c r="W44" s="23">
        <f t="shared" si="15"/>
        <v>82379.72</v>
      </c>
      <c r="X44" s="23">
        <f t="shared" si="16"/>
        <v>407399.33999999997</v>
      </c>
      <c r="Y44" s="8">
        <f t="shared" si="17"/>
        <v>0.2022087713740528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0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0</v>
      </c>
      <c r="W46" s="23">
        <f t="shared" si="15"/>
        <v>0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/>
      <c r="P49" s="28"/>
      <c r="Q49" s="19">
        <v>3673.64</v>
      </c>
      <c r="R49" s="19">
        <v>7131.93</v>
      </c>
      <c r="S49" s="19">
        <v>0</v>
      </c>
      <c r="T49" s="20" t="str">
        <f t="shared" si="13"/>
        <v>%</v>
      </c>
      <c r="U49" s="28"/>
      <c r="V49" s="19">
        <f t="shared" si="14"/>
        <v>3673.64</v>
      </c>
      <c r="W49" s="23">
        <f t="shared" si="15"/>
        <v>7131.93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338226.27</v>
      </c>
      <c r="H50" s="71">
        <f>SUM(H34:H49)</f>
        <v>449951.55999999982</v>
      </c>
      <c r="I50" s="57">
        <f>SUM(I34:I48)</f>
        <v>4126352.84</v>
      </c>
      <c r="J50" s="31">
        <f>IF(I50=0,"",H50/I50)</f>
        <v>0.10904340405363877</v>
      </c>
      <c r="K50" s="29"/>
      <c r="L50" s="57">
        <f>SUM(L34:L49)</f>
        <v>32075.439999999999</v>
      </c>
      <c r="M50" s="57">
        <f>SUM(M34:M49)</f>
        <v>33115.69</v>
      </c>
      <c r="N50" s="57">
        <f>SUM(N34:N48)</f>
        <v>398120.47</v>
      </c>
      <c r="O50" s="139">
        <f>IF(N50=0,"",M50/N50)</f>
        <v>8.3180073609377597E-2</v>
      </c>
      <c r="P50" s="28"/>
      <c r="Q50" s="71">
        <f>SUM(Q34:Q49)</f>
        <v>3673.64</v>
      </c>
      <c r="R50" s="71">
        <f>SUM(R34:R49)</f>
        <v>7131.93</v>
      </c>
      <c r="S50" s="71">
        <f>SUM(S34:S49)</f>
        <v>0</v>
      </c>
      <c r="T50" s="139" t="str">
        <f>IF(S50=0,"",R50/S50)</f>
        <v/>
      </c>
      <c r="U50" s="28"/>
      <c r="V50" s="71">
        <f>SUM(V34:V49)</f>
        <v>373975.35000000003</v>
      </c>
      <c r="W50" s="57">
        <f>SUM(W34:W49)</f>
        <v>490199.17999999988</v>
      </c>
      <c r="X50" s="57">
        <f>SUM(X34:X49)</f>
        <v>4524473.3100000005</v>
      </c>
      <c r="Y50" s="31">
        <f>IF(X50=0,"",W50/X50)</f>
        <v>0.10834392125080296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47367.779999999912</v>
      </c>
      <c r="H51" s="58">
        <f>H30-H50</f>
        <v>321085.03000000026</v>
      </c>
      <c r="I51" s="58">
        <f>I30-I50</f>
        <v>376232.16000000015</v>
      </c>
      <c r="J51" s="31">
        <f>IF(I51=0,"",H51/I51)</f>
        <v>0.85342260480869081</v>
      </c>
      <c r="K51" s="29"/>
      <c r="L51" s="58">
        <f>L30-L50</f>
        <v>0</v>
      </c>
      <c r="M51" s="58">
        <f>M30-M50</f>
        <v>0</v>
      </c>
      <c r="N51" s="58">
        <f>N30-N50</f>
        <v>-9.9999999511055648E-3</v>
      </c>
      <c r="O51" s="139">
        <f>IF(N51=0,"",M51/N51)</f>
        <v>0</v>
      </c>
      <c r="P51" s="28"/>
      <c r="Q51" s="136">
        <f>Q30-Q50</f>
        <v>14548.350000000002</v>
      </c>
      <c r="R51" s="136">
        <f>R30-R50</f>
        <v>15681.82</v>
      </c>
      <c r="S51" s="136">
        <f>S30-S50</f>
        <v>0</v>
      </c>
      <c r="T51" s="139" t="str">
        <f>IF(S51=0,"",R51/S51)</f>
        <v/>
      </c>
      <c r="U51" s="28"/>
      <c r="V51" s="136">
        <f>V30-V50</f>
        <v>61916.129999999946</v>
      </c>
      <c r="W51" s="58">
        <f>W30-W50</f>
        <v>336766.85000000015</v>
      </c>
      <c r="X51" s="58">
        <f>X30-X50</f>
        <v>376232.14999999944</v>
      </c>
      <c r="Y51" s="31">
        <f>IF(X51=0,"",W51/X51)</f>
        <v>0.89510386074130199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20"/>
      <c r="P52" s="28"/>
      <c r="Q52" s="28"/>
      <c r="R52" s="28"/>
      <c r="S52" s="28"/>
      <c r="T52" s="20"/>
      <c r="U52" s="28"/>
      <c r="V52" s="28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20"/>
      <c r="P53" s="28"/>
      <c r="Q53" s="28"/>
      <c r="R53" s="28"/>
      <c r="S53" s="28"/>
      <c r="T53" s="20"/>
      <c r="U53" s="28"/>
      <c r="V53" s="28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0</v>
      </c>
      <c r="H54" s="66">
        <v>0</v>
      </c>
      <c r="I54" s="59">
        <v>102816</v>
      </c>
      <c r="J54" s="8">
        <f>IF(I54=0,"%",H54/I54)</f>
        <v>0</v>
      </c>
      <c r="K54" s="29"/>
      <c r="L54" s="66">
        <v>0</v>
      </c>
      <c r="M54" s="66">
        <v>0</v>
      </c>
      <c r="N54" s="59">
        <v>0</v>
      </c>
      <c r="O54" s="20" t="str">
        <f>IF(N54=0,"%",M54/N54)</f>
        <v>%</v>
      </c>
      <c r="P54" s="28"/>
      <c r="Q54" s="67"/>
      <c r="R54" s="67"/>
      <c r="S54" s="68"/>
      <c r="T54" s="20" t="str">
        <f>IF(S54=0,"%",R54/S54)</f>
        <v>%</v>
      </c>
      <c r="U54" s="28"/>
      <c r="V54" s="67">
        <f t="shared" ref="V54:X55" si="18">G54+L54+Q54</f>
        <v>0</v>
      </c>
      <c r="W54" s="66">
        <f t="shared" si="18"/>
        <v>0</v>
      </c>
      <c r="X54" s="59">
        <f t="shared" si="18"/>
        <v>102816</v>
      </c>
      <c r="Y54" s="8">
        <f>IF(X54=0,"%",W54/X54)</f>
        <v>0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53895.16</v>
      </c>
      <c r="H55" s="19">
        <v>86856.81</v>
      </c>
      <c r="I55" s="19">
        <v>479052.16000000003</v>
      </c>
      <c r="J55" s="8">
        <f>IF(I55=0,"%",H55/I55)</f>
        <v>0.18130971374808119</v>
      </c>
      <c r="K55" s="29"/>
      <c r="L55" s="66">
        <v>0</v>
      </c>
      <c r="M55" s="66">
        <v>0</v>
      </c>
      <c r="N55" s="59">
        <v>0</v>
      </c>
      <c r="O55" s="20" t="str">
        <f>IF(N55=0,"%",M55/N55)</f>
        <v>%</v>
      </c>
      <c r="P55" s="28"/>
      <c r="Q55" s="67"/>
      <c r="R55" s="67"/>
      <c r="S55" s="68"/>
      <c r="T55" s="20" t="str">
        <f>IF(S55=0,"%",R55/S55)</f>
        <v>%</v>
      </c>
      <c r="U55" s="28"/>
      <c r="V55" s="67">
        <f t="shared" si="18"/>
        <v>53895.16</v>
      </c>
      <c r="W55" s="66">
        <f t="shared" si="18"/>
        <v>86856.81</v>
      </c>
      <c r="X55" s="59">
        <f t="shared" si="18"/>
        <v>479052.16000000003</v>
      </c>
      <c r="Y55" s="8">
        <f>IF(X55=0,"%",W55/X55)</f>
        <v>0.18130971374808119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-53895.16</v>
      </c>
      <c r="H56" s="57">
        <f>H54-H55</f>
        <v>-86856.81</v>
      </c>
      <c r="I56" s="57">
        <f>SUM(I54-I55)+4</f>
        <v>-376232.16000000003</v>
      </c>
      <c r="J56" s="31">
        <f>IF(I56=0,"",H56/I56)</f>
        <v>0.23085961072546268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139" t="str">
        <f>IF(N56=0,"",M56/N56)</f>
        <v/>
      </c>
      <c r="P56" s="28"/>
      <c r="Q56" s="71">
        <f>SUM(Q54:Q55)</f>
        <v>0</v>
      </c>
      <c r="R56" s="71">
        <f>SUM(R54:R55)</f>
        <v>0</v>
      </c>
      <c r="S56" s="71">
        <f>SUM(S54:S55)</f>
        <v>0</v>
      </c>
      <c r="T56" s="139" t="str">
        <f>IF(S56=0,"",R56/S56)</f>
        <v/>
      </c>
      <c r="U56" s="28"/>
      <c r="V56" s="71">
        <f>SUM(V54:V55)</f>
        <v>53895.16</v>
      </c>
      <c r="W56" s="57">
        <f>W54-W55</f>
        <v>-86856.81</v>
      </c>
      <c r="X56" s="57">
        <f>SUM(X54:X55)</f>
        <v>581868.16</v>
      </c>
      <c r="Y56" s="31">
        <f>IF(X56=0,"",W56/X56)</f>
        <v>-0.14927231969523816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20"/>
      <c r="P57" s="28"/>
      <c r="Q57" s="28"/>
      <c r="R57" s="28"/>
      <c r="S57" s="28"/>
      <c r="T57" s="20"/>
      <c r="U57" s="28"/>
      <c r="V57" s="28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-6527.380000000092</v>
      </c>
      <c r="H58" s="59">
        <f>H51+H56</f>
        <v>234228.22000000026</v>
      </c>
      <c r="I58" s="59"/>
      <c r="J58" s="60"/>
      <c r="K58" s="59"/>
      <c r="L58" s="59"/>
      <c r="M58" s="59">
        <f>M30-M50+M56</f>
        <v>0</v>
      </c>
      <c r="N58" s="59"/>
      <c r="O58" s="68"/>
      <c r="P58" s="68"/>
      <c r="Q58" s="68"/>
      <c r="R58" s="68">
        <f>R30-R50+R56</f>
        <v>15681.82</v>
      </c>
      <c r="S58" s="68">
        <f>S30-S50+S56</f>
        <v>0</v>
      </c>
      <c r="T58" s="68"/>
      <c r="U58" s="68">
        <f>U30-U50+U56</f>
        <v>0</v>
      </c>
      <c r="V58" s="68"/>
      <c r="W58" s="59">
        <f>W30-W50+W56</f>
        <v>249910.04000000015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140" t="str">
        <f>IF(N59=0,"",M59/N59)</f>
        <v/>
      </c>
      <c r="P59" s="68"/>
      <c r="Q59" s="68"/>
      <c r="R59" s="68"/>
      <c r="S59" s="68"/>
      <c r="T59" s="140" t="str">
        <f>IF(S59=0,"",R59/S59)</f>
        <v/>
      </c>
      <c r="U59" s="68"/>
      <c r="V59" s="68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140" t="str">
        <f>IF(N60=0,"",M60/N60)</f>
        <v/>
      </c>
      <c r="P60" s="68"/>
      <c r="Q60" s="68"/>
      <c r="R60" s="68"/>
      <c r="S60" s="68"/>
      <c r="T60" s="140" t="str">
        <f>IF(S60=0,"",R60/S60)</f>
        <v/>
      </c>
      <c r="U60" s="68"/>
      <c r="V60" s="68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141" t="str">
        <f>IF(N61=0,"",M61/N61)</f>
        <v/>
      </c>
      <c r="P61" s="68"/>
      <c r="Q61" s="71">
        <f>SUM(Q59:Q60)</f>
        <v>0</v>
      </c>
      <c r="R61" s="71">
        <f>SUM(R59:R60)</f>
        <v>0</v>
      </c>
      <c r="S61" s="71">
        <f>SUM(S59:S60)</f>
        <v>0</v>
      </c>
      <c r="T61" s="141" t="str">
        <f>IF(S61=0,"",R61/S61)</f>
        <v/>
      </c>
      <c r="U61" s="68"/>
      <c r="V61" s="71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20"/>
      <c r="P62" s="28"/>
      <c r="Q62" s="28"/>
      <c r="R62" s="28"/>
      <c r="S62" s="28"/>
      <c r="T62" s="20"/>
      <c r="U62" s="28"/>
      <c r="V62" s="28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-6527.380000000092</v>
      </c>
      <c r="H63" s="23">
        <f>H61+H58</f>
        <v>234228.22000000026</v>
      </c>
      <c r="I63" s="23">
        <f>I61+I58</f>
        <v>0</v>
      </c>
      <c r="J63" s="8"/>
      <c r="K63" s="29"/>
      <c r="L63" s="23">
        <f>L61+L58</f>
        <v>0</v>
      </c>
      <c r="M63" s="23">
        <f>M61+M58</f>
        <v>0</v>
      </c>
      <c r="N63" s="23">
        <f>N61+N58</f>
        <v>0</v>
      </c>
      <c r="O63" s="20" t="str">
        <f>IF(N63=0,"%",M63/N63)</f>
        <v>%</v>
      </c>
      <c r="P63" s="28"/>
      <c r="Q63" s="19">
        <f>Q61+Q58</f>
        <v>0</v>
      </c>
      <c r="R63" s="19">
        <f>R61+R58</f>
        <v>15681.82</v>
      </c>
      <c r="S63" s="19">
        <f>S61+S58</f>
        <v>0</v>
      </c>
      <c r="T63" s="20" t="str">
        <f>IF(S63=0,"%",R63/S63)</f>
        <v>%</v>
      </c>
      <c r="U63" s="28"/>
      <c r="V63" s="19">
        <f>V61+V58</f>
        <v>0</v>
      </c>
      <c r="W63" s="23">
        <f>W61+W58</f>
        <v>249910.04000000015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7"/>
      <c r="P64" s="17"/>
      <c r="Q64" s="17"/>
      <c r="R64" s="17"/>
      <c r="S64" s="17"/>
      <c r="T64" s="17"/>
      <c r="U64" s="17"/>
      <c r="V64" s="17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dimension ref="A1:BB60"/>
  <sheetViews>
    <sheetView topLeftCell="C1" zoomScale="80" zoomScaleNormal="80" workbookViewId="0">
      <selection activeCell="C5" sqref="C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49" t="s">
        <v>85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</row>
    <row r="2" spans="1:50" ht="23.25" x14ac:dyDescent="0.35">
      <c r="A2" s="45"/>
      <c r="B2" s="46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</row>
    <row r="3" spans="1:50" ht="23.25" x14ac:dyDescent="0.35">
      <c r="A3" s="45"/>
      <c r="B3" s="46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</row>
    <row r="4" spans="1:50" ht="23.25" x14ac:dyDescent="0.35">
      <c r="A4" s="45"/>
      <c r="B4" s="46"/>
      <c r="C4" s="149" t="s">
        <v>105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57" t="s">
        <v>86</v>
      </c>
      <c r="H8" s="158"/>
      <c r="I8" s="158"/>
      <c r="J8" s="159"/>
      <c r="K8" s="77"/>
      <c r="L8" s="157" t="s">
        <v>87</v>
      </c>
      <c r="M8" s="158"/>
      <c r="N8" s="158"/>
      <c r="O8" s="159"/>
      <c r="P8" s="77"/>
      <c r="Q8" s="157" t="s">
        <v>88</v>
      </c>
      <c r="R8" s="158"/>
      <c r="S8" s="158"/>
      <c r="T8" s="159"/>
      <c r="U8" s="77"/>
      <c r="V8" s="157" t="s">
        <v>89</v>
      </c>
      <c r="W8" s="158"/>
      <c r="X8" s="158"/>
      <c r="Y8" s="159"/>
      <c r="Z8" s="78"/>
      <c r="AA8" s="157" t="s">
        <v>90</v>
      </c>
      <c r="AB8" s="158"/>
      <c r="AC8" s="158"/>
      <c r="AD8" s="159"/>
      <c r="AE8" s="78"/>
      <c r="AF8" s="157" t="s">
        <v>91</v>
      </c>
      <c r="AG8" s="158"/>
      <c r="AH8" s="158"/>
      <c r="AI8" s="159"/>
      <c r="AJ8" s="78"/>
      <c r="AK8" s="157" t="s">
        <v>92</v>
      </c>
      <c r="AL8" s="158"/>
      <c r="AM8" s="158"/>
      <c r="AN8" s="159"/>
      <c r="AO8" s="78"/>
      <c r="AP8" s="157" t="s">
        <v>93</v>
      </c>
      <c r="AQ8" s="158"/>
      <c r="AR8" s="158"/>
      <c r="AS8" s="159"/>
      <c r="AT8" s="78"/>
      <c r="AU8" s="157" t="s">
        <v>94</v>
      </c>
      <c r="AV8" s="158"/>
      <c r="AW8" s="158"/>
      <c r="AX8" s="159"/>
    </row>
    <row r="9" spans="1:50" ht="16.5" x14ac:dyDescent="0.25">
      <c r="A9" s="45"/>
      <c r="B9" s="46"/>
      <c r="C9" s="77"/>
      <c r="D9" s="79"/>
      <c r="E9" s="125"/>
      <c r="F9" s="79"/>
      <c r="G9" s="160"/>
      <c r="H9" s="161"/>
      <c r="I9" s="161"/>
      <c r="J9" s="162"/>
      <c r="K9" s="81"/>
      <c r="L9" s="160"/>
      <c r="M9" s="161"/>
      <c r="N9" s="161"/>
      <c r="O9" s="162"/>
      <c r="P9" s="81"/>
      <c r="Q9" s="160"/>
      <c r="R9" s="161"/>
      <c r="S9" s="161"/>
      <c r="T9" s="162"/>
      <c r="U9" s="77"/>
      <c r="V9" s="160"/>
      <c r="W9" s="161"/>
      <c r="X9" s="161"/>
      <c r="Y9" s="162"/>
      <c r="Z9" s="78"/>
      <c r="AA9" s="160"/>
      <c r="AB9" s="161"/>
      <c r="AC9" s="161"/>
      <c r="AD9" s="162"/>
      <c r="AE9" s="78"/>
      <c r="AF9" s="160"/>
      <c r="AG9" s="161"/>
      <c r="AH9" s="161"/>
      <c r="AI9" s="162"/>
      <c r="AJ9" s="78"/>
      <c r="AK9" s="160"/>
      <c r="AL9" s="161"/>
      <c r="AM9" s="161"/>
      <c r="AN9" s="162"/>
      <c r="AO9" s="78"/>
      <c r="AP9" s="160"/>
      <c r="AQ9" s="161"/>
      <c r="AR9" s="161"/>
      <c r="AS9" s="162"/>
      <c r="AT9" s="78"/>
      <c r="AU9" s="160" t="s">
        <v>104</v>
      </c>
      <c r="AV9" s="161"/>
      <c r="AW9" s="161"/>
      <c r="AX9" s="162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3985.18</v>
      </c>
      <c r="AL14" s="96">
        <f>'1721'!M16</f>
        <v>3985.18</v>
      </c>
      <c r="AM14" s="96">
        <f>'1721'!N16</f>
        <v>80000</v>
      </c>
      <c r="AN14" s="80">
        <f>IF(AM14=0,"%",AL14/AM14)</f>
        <v>4.9814749999999998E-2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3985.18</v>
      </c>
      <c r="AV14" s="92">
        <f>H14+M14+R14+W14+AB14+AG14+AL14+AQ14</f>
        <v>3985.18</v>
      </c>
      <c r="AW14" s="92">
        <f>I14+N14+S14+X14+AC14+AH14+AM14+AR14</f>
        <v>80000</v>
      </c>
      <c r="AX14" s="93">
        <f>IF(AW14=0,"%",AV14/AW14)</f>
        <v>4.9814749999999998E-2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32075.439999999999</v>
      </c>
      <c r="H15" s="92">
        <f>'1351'!M15</f>
        <v>33115.69</v>
      </c>
      <c r="I15" s="92">
        <f>'1351'!N15</f>
        <v>398120.46</v>
      </c>
      <c r="J15" s="93" t="s">
        <v>95</v>
      </c>
      <c r="K15" s="98"/>
      <c r="L15" s="92">
        <f>'1361'!L17</f>
        <v>48971.25</v>
      </c>
      <c r="M15" s="92">
        <f>'1361'!M17</f>
        <v>52977.8</v>
      </c>
      <c r="N15" s="92">
        <f>'1361'!N17</f>
        <v>339077.05</v>
      </c>
      <c r="O15" s="80">
        <f>IF(N15=0,"%",M15/N15)</f>
        <v>0.15624118471008286</v>
      </c>
      <c r="P15" s="99"/>
      <c r="Q15" s="96">
        <f>'1401'!L17</f>
        <v>24163.75</v>
      </c>
      <c r="R15" s="96">
        <f>'1401'!M17</f>
        <v>38121.360000000001</v>
      </c>
      <c r="S15" s="96">
        <f>'1401'!N17</f>
        <v>341586.94</v>
      </c>
      <c r="T15" s="80">
        <f>IF(S15=0,"%",R15/S15)</f>
        <v>0.11160075382273105</v>
      </c>
      <c r="U15" s="77"/>
      <c r="V15" s="96">
        <f>'1421'!L17</f>
        <v>15236.46</v>
      </c>
      <c r="W15" s="96">
        <f>'1421'!M17</f>
        <v>15236.46</v>
      </c>
      <c r="X15" s="96">
        <f>'1421'!N17</f>
        <v>190552.35</v>
      </c>
      <c r="Y15" s="80">
        <f>IF(X15=0,"%",W15/X15)</f>
        <v>7.9959444215723388E-2</v>
      </c>
      <c r="Z15" s="78"/>
      <c r="AA15" s="96">
        <f>'1601'!L17</f>
        <v>29951.01</v>
      </c>
      <c r="AB15" s="96">
        <f>'1601'!M17</f>
        <v>29951.01</v>
      </c>
      <c r="AC15" s="96">
        <f>'1601'!N17</f>
        <v>298336.69</v>
      </c>
      <c r="AD15" s="80">
        <f>IF(AC15=0,"%",AB15/AC15)</f>
        <v>0.10039331736233983</v>
      </c>
      <c r="AE15" s="78"/>
      <c r="AF15" s="92">
        <f>'1621'!L17</f>
        <v>30131.09</v>
      </c>
      <c r="AG15" s="92">
        <f>'1621'!M17</f>
        <v>39984.21</v>
      </c>
      <c r="AH15" s="92">
        <f>'1621'!N17</f>
        <v>336481.04</v>
      </c>
      <c r="AI15" s="80">
        <f>IF(AH15=0,"%",AG15/AH15)</f>
        <v>0.11883049933511856</v>
      </c>
      <c r="AJ15" s="78"/>
      <c r="AK15" s="96">
        <f>'1721'!L17</f>
        <v>50031.020000000004</v>
      </c>
      <c r="AL15" s="96">
        <f>'1721'!M17</f>
        <v>52304.14</v>
      </c>
      <c r="AM15" s="96">
        <f>'1721'!N17</f>
        <v>602261.83000000007</v>
      </c>
      <c r="AN15" s="80">
        <f>IF(AM15=0,"%",AL15/AM15)</f>
        <v>8.6846181170073478E-2</v>
      </c>
      <c r="AO15" s="78"/>
      <c r="AP15" s="96">
        <f>'9000'!Q14</f>
        <v>68590.7</v>
      </c>
      <c r="AQ15" s="96">
        <f>'9000'!R14</f>
        <v>151712.25</v>
      </c>
      <c r="AR15" s="96">
        <f>'9000'!S14</f>
        <v>1633403.44</v>
      </c>
      <c r="AS15" s="80">
        <f>IF(AR15=0,"%",AQ15/AR15)</f>
        <v>9.2881064337662966E-2</v>
      </c>
      <c r="AT15" s="78"/>
      <c r="AU15" s="96">
        <f>AF15+AK15+AP15</f>
        <v>148752.81</v>
      </c>
      <c r="AV15" s="92">
        <f t="shared" ref="AV15:AW29" si="1">H15+M15+R15+W15+AB15+AG15+AL15+AQ15</f>
        <v>413402.92</v>
      </c>
      <c r="AW15" s="92">
        <f>I15+N15+S15+X15+AC15+AH15+AM15+AR15</f>
        <v>4139819.8000000003</v>
      </c>
      <c r="AX15" s="93">
        <f>IF(AW15=0,"%",AV15/AW15)</f>
        <v>9.9860124346475163E-2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32075.439999999999</v>
      </c>
      <c r="H30" s="102">
        <f>SUM(H14:H29)</f>
        <v>33115.69</v>
      </c>
      <c r="I30" s="102">
        <f>SUM(I14:I29)</f>
        <v>398120.46</v>
      </c>
      <c r="J30" s="103">
        <v>8.8403849620694447E-2</v>
      </c>
      <c r="K30" s="101"/>
      <c r="L30" s="102">
        <f>SUM(L14:L29)</f>
        <v>48971.25</v>
      </c>
      <c r="M30" s="102">
        <f>SUM(M14:M29)</f>
        <v>52977.8</v>
      </c>
      <c r="N30" s="102">
        <f>SUM(N14:N29)</f>
        <v>339077.05</v>
      </c>
      <c r="O30" s="103">
        <f>IF(N30=0,"",M30/N30)</f>
        <v>0.15624118471008286</v>
      </c>
      <c r="P30" s="101"/>
      <c r="Q30" s="102">
        <f>SUM(Q14:Q29)</f>
        <v>24163.75</v>
      </c>
      <c r="R30" s="102">
        <f>SUM(R14:R29)</f>
        <v>38121.360000000001</v>
      </c>
      <c r="S30" s="102">
        <f>SUM(S14:S29)</f>
        <v>341586.94</v>
      </c>
      <c r="T30" s="103">
        <f>IF(S30=0,"",R30/S30)</f>
        <v>0.11160075382273105</v>
      </c>
      <c r="U30" s="77"/>
      <c r="V30" s="102">
        <f>SUM(V14:V29)</f>
        <v>15236.46</v>
      </c>
      <c r="W30" s="102">
        <f>SUM(W14:W29)</f>
        <v>15236.46</v>
      </c>
      <c r="X30" s="102">
        <f>SUM(X14:X29)</f>
        <v>190552.35</v>
      </c>
      <c r="Y30" s="103">
        <f>IF(X30=0,"",W30/X30)</f>
        <v>7.9959444215723388E-2</v>
      </c>
      <c r="Z30" s="78"/>
      <c r="AA30" s="102">
        <f>SUM(AA14:AA29)</f>
        <v>29951.01</v>
      </c>
      <c r="AB30" s="102">
        <f>SUM(AB14:AB29)</f>
        <v>29951.01</v>
      </c>
      <c r="AC30" s="102">
        <f>SUM(AC14:AC29)</f>
        <v>298336.69</v>
      </c>
      <c r="AD30" s="103">
        <f>IF(AC30=0,"",AB30/AC30)</f>
        <v>0.10039331736233983</v>
      </c>
      <c r="AE30" s="78"/>
      <c r="AF30" s="102">
        <f>SUM(AF14:AF29)</f>
        <v>30131.09</v>
      </c>
      <c r="AG30" s="102">
        <f>SUM(AG14:AG29)</f>
        <v>39984.21</v>
      </c>
      <c r="AH30" s="102">
        <f>SUM(AH14:AH29)</f>
        <v>336481.04</v>
      </c>
      <c r="AI30" s="103">
        <f>IF(AH30=0,"",AG30/AH30)</f>
        <v>0.11883049933511856</v>
      </c>
      <c r="AJ30" s="78"/>
      <c r="AK30" s="102">
        <f>SUM(AK14:AK29)</f>
        <v>54016.200000000004</v>
      </c>
      <c r="AL30" s="102">
        <f>SUM(AL14:AL29)</f>
        <v>56289.32</v>
      </c>
      <c r="AM30" s="102">
        <f>SUM(AM14:AM29)</f>
        <v>682261.83000000007</v>
      </c>
      <c r="AN30" s="103">
        <f>IF(AM30=0,"",AL30/AM30)</f>
        <v>8.2503985310155764E-2</v>
      </c>
      <c r="AO30" s="78"/>
      <c r="AP30" s="102">
        <f>SUM(AP14:AP29)</f>
        <v>68590.7</v>
      </c>
      <c r="AQ30" s="102">
        <f>SUM(AQ14:AQ29)</f>
        <v>151712.25</v>
      </c>
      <c r="AR30" s="102">
        <f>SUM(AR14:AR29)</f>
        <v>1633403.44</v>
      </c>
      <c r="AS30" s="103">
        <f>IF(AR30=0,"",AQ30/AR30)</f>
        <v>9.2881064337662966E-2</v>
      </c>
      <c r="AT30" s="78"/>
      <c r="AU30" s="102">
        <f>SUM(AU14:AU29)</f>
        <v>152737.99</v>
      </c>
      <c r="AV30" s="118">
        <f>SUM(AV14:AV29)</f>
        <v>417388.1</v>
      </c>
      <c r="AW30" s="118">
        <f>SUM(AW14:AW29)</f>
        <v>4219819.8000000007</v>
      </c>
      <c r="AX30" s="119">
        <f>IF(AW30=0,"",AV30/AW30)</f>
        <v>9.8911356356970487E-2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12619.73</v>
      </c>
      <c r="H34" s="92">
        <f>'1351'!M34</f>
        <v>13659.98</v>
      </c>
      <c r="I34" s="92">
        <f>'1351'!N34</f>
        <v>157126.39000000001</v>
      </c>
      <c r="J34" s="80">
        <v>5.4045228213744027E-3</v>
      </c>
      <c r="K34" s="101"/>
      <c r="L34" s="92">
        <f>'1361'!L36</f>
        <v>37977.770000000004</v>
      </c>
      <c r="M34" s="92">
        <f>'1361'!M36</f>
        <v>41984.320000000007</v>
      </c>
      <c r="N34" s="92">
        <f>'1361'!N36</f>
        <v>257180.85</v>
      </c>
      <c r="O34" s="80">
        <f t="shared" ref="O34:O48" si="20">IF(N34=0,"%",M34/N34)</f>
        <v>0.16324823562874144</v>
      </c>
      <c r="P34" s="101"/>
      <c r="Q34" s="96">
        <f>'1401'!L36</f>
        <v>4746.97</v>
      </c>
      <c r="R34" s="96">
        <f>'1401'!M36</f>
        <v>18704.579999999998</v>
      </c>
      <c r="S34" s="96">
        <f>'1401'!N36</f>
        <v>106065.72</v>
      </c>
      <c r="T34" s="80">
        <f t="shared" ref="T34:T49" si="21">IF(S34=0,"%",R34/S34)</f>
        <v>0.17634896552816498</v>
      </c>
      <c r="U34" s="77"/>
      <c r="V34" s="96">
        <f>'1421'!L36</f>
        <v>6162.7</v>
      </c>
      <c r="W34" s="96">
        <f>'1421'!M36</f>
        <v>6162.7</v>
      </c>
      <c r="X34" s="96">
        <f>'1421'!N36</f>
        <v>76958.820000000007</v>
      </c>
      <c r="Y34" s="80">
        <f t="shared" ref="Y34:Y49" si="22">IF(X34=0,"%",W34/X34)</f>
        <v>8.0077891007164601E-2</v>
      </c>
      <c r="Z34" s="78"/>
      <c r="AA34" s="96">
        <f>'1601'!L36</f>
        <v>9641.6700000000019</v>
      </c>
      <c r="AB34" s="96">
        <f>'1601'!M36</f>
        <v>9641.6700000000019</v>
      </c>
      <c r="AC34" s="96">
        <f>'1601'!N36</f>
        <v>88275.95</v>
      </c>
      <c r="AD34" s="80">
        <f t="shared" ref="AD34:AD49" si="23">IF(AC34=0,"%",AB34/AC34)</f>
        <v>0.10922193417346403</v>
      </c>
      <c r="AE34" s="78"/>
      <c r="AF34" s="92">
        <f>'1621'!L37</f>
        <v>15535.98</v>
      </c>
      <c r="AG34" s="92">
        <f>'1621'!M37</f>
        <v>20072.219999999998</v>
      </c>
      <c r="AH34" s="92">
        <f>'1621'!N37</f>
        <v>125360.34</v>
      </c>
      <c r="AI34" s="80">
        <f t="shared" ref="AI34:AI49" si="24">IF(AH34=0,"%",AG34/AH34)</f>
        <v>0.16011618985717491</v>
      </c>
      <c r="AJ34" s="78"/>
      <c r="AK34" s="96">
        <f>'1721'!L36</f>
        <v>55523.890000000014</v>
      </c>
      <c r="AL34" s="96">
        <f>'1721'!M36</f>
        <v>62895.630000000005</v>
      </c>
      <c r="AM34" s="96">
        <f>'1721'!N36</f>
        <v>612696.41</v>
      </c>
      <c r="AN34" s="80">
        <f t="shared" ref="AN34:AN49" si="25">IF(AM34=0,"%",AL34/AM34)</f>
        <v>0.1026538249179557</v>
      </c>
      <c r="AO34" s="78"/>
      <c r="AP34" s="96">
        <f>'9000'!Q33</f>
        <v>14772.02</v>
      </c>
      <c r="AQ34" s="96">
        <f>'9000'!R33</f>
        <v>19234.510000000002</v>
      </c>
      <c r="AR34" s="96">
        <f>'9000'!S33</f>
        <v>518929.20000000007</v>
      </c>
      <c r="AS34" s="80">
        <f t="shared" ref="AS34:AS48" si="26">IF(AR34=0,"%",AQ34/AR34)</f>
        <v>3.7065769280279465E-2</v>
      </c>
      <c r="AT34" s="78"/>
      <c r="AU34" s="96">
        <f t="shared" ref="AU34:AU49" si="27">AF34+AK34+AP34</f>
        <v>85831.890000000014</v>
      </c>
      <c r="AV34" s="92">
        <f>H34+M34+R34+W34+AB34+AG34+AL34+AQ34</f>
        <v>192355.61000000002</v>
      </c>
      <c r="AW34" s="92">
        <f>I34+N34+S34+X34+AC34+AH34+AM34+AR34</f>
        <v>1942593.6800000002</v>
      </c>
      <c r="AX34" s="93">
        <f t="shared" ref="AX34:AX48" si="28">IF(AW34=0,"%",AV34/AW34)</f>
        <v>9.90199916639284E-2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19455.71</v>
      </c>
      <c r="H35" s="92">
        <f>'1351'!M35</f>
        <v>19455.71</v>
      </c>
      <c r="I35" s="92">
        <f>'1351'!N35</f>
        <v>240994.08</v>
      </c>
      <c r="J35" s="80">
        <v>8.8888260133120804E-4</v>
      </c>
      <c r="K35" s="101"/>
      <c r="L35" s="92">
        <f>'1361'!L37</f>
        <v>10993.48</v>
      </c>
      <c r="M35" s="92">
        <f>'1361'!M37</f>
        <v>10993.48</v>
      </c>
      <c r="N35" s="92">
        <f>'1361'!N37</f>
        <v>81896.210000000006</v>
      </c>
      <c r="O35" s="80">
        <f t="shared" si="20"/>
        <v>0.13423673696255295</v>
      </c>
      <c r="P35" s="101"/>
      <c r="Q35" s="96">
        <f>'1401'!L37</f>
        <v>19416.78</v>
      </c>
      <c r="R35" s="96">
        <f>'1401'!M37</f>
        <v>19416.78</v>
      </c>
      <c r="S35" s="96">
        <f>'1401'!N37</f>
        <v>235521.21000000002</v>
      </c>
      <c r="T35" s="80">
        <f t="shared" si="21"/>
        <v>8.2441746966228635E-2</v>
      </c>
      <c r="U35" s="77"/>
      <c r="V35" s="96">
        <f>'1421'!L37</f>
        <v>9073.76</v>
      </c>
      <c r="W35" s="96">
        <f>'1421'!M37</f>
        <v>9073.76</v>
      </c>
      <c r="X35" s="96">
        <f>'1421'!N37</f>
        <v>113593.53000000001</v>
      </c>
      <c r="Y35" s="80">
        <f t="shared" si="22"/>
        <v>7.9879197345130479E-2</v>
      </c>
      <c r="Z35" s="78"/>
      <c r="AA35" s="96">
        <f>'1601'!L37</f>
        <v>20309.339999999997</v>
      </c>
      <c r="AB35" s="96">
        <f>'1601'!M37</f>
        <v>20309.339999999997</v>
      </c>
      <c r="AC35" s="96">
        <f>'1601'!N37</f>
        <v>210060.78</v>
      </c>
      <c r="AD35" s="80">
        <f t="shared" si="23"/>
        <v>9.6683159988266237E-2</v>
      </c>
      <c r="AE35" s="78"/>
      <c r="AF35" s="92">
        <f>'1621'!L38</f>
        <v>14595.11</v>
      </c>
      <c r="AG35" s="92">
        <f>'1621'!M38</f>
        <v>19911.989999999998</v>
      </c>
      <c r="AH35" s="92">
        <f>'1621'!N38</f>
        <v>211120.43000000002</v>
      </c>
      <c r="AI35" s="80">
        <f t="shared" si="24"/>
        <v>9.4315789334078165E-2</v>
      </c>
      <c r="AJ35" s="78"/>
      <c r="AK35" s="96">
        <f>'1721'!L37</f>
        <v>4546.42</v>
      </c>
      <c r="AL35" s="96">
        <f>'1721'!M37</f>
        <v>6819.54</v>
      </c>
      <c r="AM35" s="96">
        <f>'1721'!N37</f>
        <v>69565.67</v>
      </c>
      <c r="AN35" s="80">
        <f t="shared" si="25"/>
        <v>9.8030249690687951E-2</v>
      </c>
      <c r="AO35" s="78"/>
      <c r="AP35" s="96">
        <f>'9000'!Q34</f>
        <v>54293.680000000008</v>
      </c>
      <c r="AQ35" s="96">
        <f>'9000'!R34</f>
        <v>132952.74000000002</v>
      </c>
      <c r="AR35" s="96">
        <f>'9000'!S34</f>
        <v>1015851.34</v>
      </c>
      <c r="AS35" s="80">
        <f t="shared" si="26"/>
        <v>0.13087814600904107</v>
      </c>
      <c r="AT35" s="78"/>
      <c r="AU35" s="96">
        <f t="shared" si="27"/>
        <v>73435.210000000006</v>
      </c>
      <c r="AV35" s="92">
        <f t="shared" ref="AV35:AW49" si="29">H35+M35+R35+W35+AB35+AG35+AL35+AQ35</f>
        <v>238933.34000000003</v>
      </c>
      <c r="AW35" s="92">
        <f t="shared" si="29"/>
        <v>2178603.25</v>
      </c>
      <c r="AX35" s="93">
        <f t="shared" si="28"/>
        <v>0.10967271805915098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0</v>
      </c>
      <c r="AQ37" s="96">
        <f>'9000'!R36</f>
        <v>0</v>
      </c>
      <c r="AR37" s="96">
        <f>'9000'!S36</f>
        <v>83606.009999999995</v>
      </c>
      <c r="AS37" s="80">
        <f t="shared" si="26"/>
        <v>0</v>
      </c>
      <c r="AT37" s="78"/>
      <c r="AU37" s="96">
        <f t="shared" si="27"/>
        <v>0</v>
      </c>
      <c r="AV37" s="92">
        <f t="shared" si="29"/>
        <v>0</v>
      </c>
      <c r="AW37" s="92">
        <f t="shared" si="29"/>
        <v>83606.009999999995</v>
      </c>
      <c r="AX37" s="93">
        <f t="shared" si="28"/>
        <v>0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0</v>
      </c>
      <c r="AR39" s="96">
        <f>'9000'!S38</f>
        <v>0</v>
      </c>
      <c r="AS39" s="80" t="str">
        <f t="shared" si="26"/>
        <v>%</v>
      </c>
      <c r="AT39" s="78"/>
      <c r="AU39" s="96">
        <f t="shared" si="27"/>
        <v>0</v>
      </c>
      <c r="AV39" s="92">
        <f t="shared" si="29"/>
        <v>0</v>
      </c>
      <c r="AW39" s="92">
        <f t="shared" si="29"/>
        <v>0</v>
      </c>
      <c r="AX39" s="93" t="str">
        <f t="shared" si="28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1894</v>
      </c>
      <c r="AQ42" s="96">
        <f>'9000'!R41</f>
        <v>1894</v>
      </c>
      <c r="AR42" s="96">
        <f>'9000'!S41</f>
        <v>6232.98</v>
      </c>
      <c r="AS42" s="80">
        <f t="shared" si="26"/>
        <v>0.30386749195408941</v>
      </c>
      <c r="AT42" s="78"/>
      <c r="AU42" s="96">
        <f t="shared" si="27"/>
        <v>1894</v>
      </c>
      <c r="AV42" s="92">
        <f t="shared" si="29"/>
        <v>1894</v>
      </c>
      <c r="AW42" s="92">
        <f t="shared" si="29"/>
        <v>6232.98</v>
      </c>
      <c r="AX42" s="93">
        <f t="shared" si="28"/>
        <v>0.30386749195408941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0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10000</v>
      </c>
      <c r="AS43" s="80">
        <f t="shared" si="26"/>
        <v>0</v>
      </c>
      <c r="AT43" s="78"/>
      <c r="AU43" s="96">
        <f t="shared" si="27"/>
        <v>0</v>
      </c>
      <c r="AV43" s="92">
        <f t="shared" si="29"/>
        <v>0</v>
      </c>
      <c r="AW43" s="92">
        <f t="shared" si="29"/>
        <v>10000</v>
      </c>
      <c r="AX43" s="93">
        <f t="shared" si="28"/>
        <v>0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0</v>
      </c>
      <c r="AR44" s="96">
        <f>'9000'!S43</f>
        <v>0</v>
      </c>
      <c r="AS44" s="80" t="str">
        <f t="shared" si="26"/>
        <v>%</v>
      </c>
      <c r="AT44" s="78"/>
      <c r="AU44" s="96">
        <f t="shared" si="27"/>
        <v>0</v>
      </c>
      <c r="AV44" s="92">
        <f t="shared" si="29"/>
        <v>0</v>
      </c>
      <c r="AW44" s="92">
        <f t="shared" si="29"/>
        <v>0</v>
      </c>
      <c r="AX44" s="93" t="str">
        <f t="shared" si="28"/>
        <v>%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0</v>
      </c>
      <c r="AQ47" s="96">
        <f>'9000'!R46</f>
        <v>0</v>
      </c>
      <c r="AR47" s="96">
        <f>'9000'!S46</f>
        <v>0</v>
      </c>
      <c r="AS47" s="80" t="str">
        <f t="shared" si="26"/>
        <v>%</v>
      </c>
      <c r="AT47" s="78"/>
      <c r="AU47" s="96">
        <f t="shared" si="27"/>
        <v>0</v>
      </c>
      <c r="AV47" s="92">
        <f t="shared" si="29"/>
        <v>0</v>
      </c>
      <c r="AW47" s="92">
        <f t="shared" si="29"/>
        <v>0</v>
      </c>
      <c r="AX47" s="93" t="str">
        <f t="shared" si="28"/>
        <v>%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32075.439999999999</v>
      </c>
      <c r="H50" s="102">
        <f>SUM(H34:H49)</f>
        <v>33115.69</v>
      </c>
      <c r="I50" s="102">
        <f>SUM(I34:I49)</f>
        <v>398120.47</v>
      </c>
      <c r="J50" s="103">
        <v>2.6370389964627962E-2</v>
      </c>
      <c r="K50" s="101"/>
      <c r="L50" s="102">
        <f>SUM(L34:L49)</f>
        <v>48971.25</v>
      </c>
      <c r="M50" s="102">
        <f>SUM(M34:M49)</f>
        <v>52977.8</v>
      </c>
      <c r="N50" s="102">
        <f>SUM(N34:N48)</f>
        <v>339077.06</v>
      </c>
      <c r="O50" s="103">
        <f>IF(N50=0,"",M50/N50)</f>
        <v>0.1562411801022458</v>
      </c>
      <c r="P50" s="101"/>
      <c r="Q50" s="102">
        <f>SUM(Q34:Q49)</f>
        <v>24163.75</v>
      </c>
      <c r="R50" s="102">
        <f>SUM(R34:R49)</f>
        <v>38121.360000000001</v>
      </c>
      <c r="S50" s="102">
        <f>SUM(S34:S49)</f>
        <v>341586.93000000005</v>
      </c>
      <c r="T50" s="103">
        <f>IF(S50=0,"",R50/S50)</f>
        <v>0.11160075708985702</v>
      </c>
      <c r="U50" s="77"/>
      <c r="V50" s="102">
        <f>SUM(V34:V49)</f>
        <v>15236.46</v>
      </c>
      <c r="W50" s="102">
        <f>SUM(W34:W49)</f>
        <v>15236.46</v>
      </c>
      <c r="X50" s="102">
        <f>SUM(X34:X49)</f>
        <v>190552.35000000003</v>
      </c>
      <c r="Y50" s="103">
        <f>IF(X50=0,"",W50/X50)</f>
        <v>7.9959444215723374E-2</v>
      </c>
      <c r="Z50" s="78"/>
      <c r="AA50" s="102">
        <f>SUM(AA34:AA49)</f>
        <v>29951.01</v>
      </c>
      <c r="AB50" s="102">
        <f>SUM(AB34:AB49)</f>
        <v>29951.01</v>
      </c>
      <c r="AC50" s="102">
        <f>SUM(AC34:AC49)</f>
        <v>298336.73</v>
      </c>
      <c r="AD50" s="103">
        <f>IF(AC50=0,"",AB50/AC50)</f>
        <v>0.10039330390193658</v>
      </c>
      <c r="AE50" s="78"/>
      <c r="AF50" s="102">
        <f>SUM(AF34:AF49)</f>
        <v>30131.09</v>
      </c>
      <c r="AG50" s="102">
        <f>SUM(AG34:AG49)</f>
        <v>39984.209999999992</v>
      </c>
      <c r="AH50" s="102">
        <f>SUM(AH34:AH49)</f>
        <v>336480.77</v>
      </c>
      <c r="AI50" s="103">
        <f>IF(AH50=0,"",AG50/AH50)</f>
        <v>0.11883059468747646</v>
      </c>
      <c r="AJ50" s="78"/>
      <c r="AK50" s="102">
        <f>SUM(AK34:AK49)</f>
        <v>60070.310000000012</v>
      </c>
      <c r="AL50" s="102">
        <f>SUM(AL34:AL49)</f>
        <v>69715.17</v>
      </c>
      <c r="AM50" s="102">
        <f>SUM(AM34:AM49)</f>
        <v>682262.08000000007</v>
      </c>
      <c r="AN50" s="103">
        <f>IF(AM50=0,"",AL50/AM50)</f>
        <v>0.10218239008681237</v>
      </c>
      <c r="AO50" s="78"/>
      <c r="AP50" s="102">
        <f>SUM(AP34:AP49)</f>
        <v>70959.700000000012</v>
      </c>
      <c r="AQ50" s="102">
        <f>SUM(AQ34:AQ49)</f>
        <v>154081.25000000003</v>
      </c>
      <c r="AR50" s="102">
        <f>SUM(AR34:AR49)</f>
        <v>1634619.53</v>
      </c>
      <c r="AS50" s="103">
        <f>IF(AR50=0,"",AQ50/AR50)</f>
        <v>9.4261231541752116E-2</v>
      </c>
      <c r="AT50" s="78"/>
      <c r="AU50" s="102">
        <f>SUM(AU34:AU49)</f>
        <v>161161.10000000003</v>
      </c>
      <c r="AV50" s="118">
        <f>SUM(AV34:AV49)</f>
        <v>433182.95000000007</v>
      </c>
      <c r="AW50" s="118">
        <f>SUM(AW34:AW49)</f>
        <v>4221035.9200000009</v>
      </c>
      <c r="AX50" s="119">
        <f>IF(AW50=0,"",AV50/AW50)</f>
        <v>0.10262479595293281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0</v>
      </c>
      <c r="I51" s="105">
        <f>I30-I50</f>
        <v>-9.9999999511055648E-3</v>
      </c>
      <c r="J51" s="103">
        <v>0.59306458748519342</v>
      </c>
      <c r="K51" s="101"/>
      <c r="L51" s="105">
        <f>L30-L50</f>
        <v>0</v>
      </c>
      <c r="M51" s="105">
        <f>M30-M50</f>
        <v>0</v>
      </c>
      <c r="N51" s="105">
        <f>N30-N50</f>
        <v>-1.0000000009313226E-2</v>
      </c>
      <c r="O51" s="103">
        <f>IF(N51=0,"",M51/N51)</f>
        <v>0</v>
      </c>
      <c r="P51" s="101"/>
      <c r="Q51" s="105">
        <f>Q30-Q50</f>
        <v>0</v>
      </c>
      <c r="R51" s="105">
        <f>R30-R50</f>
        <v>0</v>
      </c>
      <c r="S51" s="105">
        <f>S30-S50</f>
        <v>9.9999999511055648E-3</v>
      </c>
      <c r="T51" s="103">
        <f>IF(S51=0,"",R51/S51)</f>
        <v>0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0</v>
      </c>
      <c r="AC51" s="105">
        <f>AC30-AC50</f>
        <v>-3.9999999979045242E-2</v>
      </c>
      <c r="AD51" s="103">
        <f>IF(AC51=0,"",AB51/AC51)</f>
        <v>0</v>
      </c>
      <c r="AE51" s="78"/>
      <c r="AF51" s="105">
        <f>AF30-AF50</f>
        <v>0</v>
      </c>
      <c r="AG51" s="105">
        <f>AG30-AG50</f>
        <v>0</v>
      </c>
      <c r="AH51" s="105">
        <f>AH30-AH50</f>
        <v>0.26999999996041879</v>
      </c>
      <c r="AI51" s="103">
        <f>IF(AH51=0,"",AG51/AH51)</f>
        <v>0</v>
      </c>
      <c r="AJ51" s="78"/>
      <c r="AK51" s="105">
        <f>AK30-AK50</f>
        <v>-6054.1100000000079</v>
      </c>
      <c r="AL51" s="105">
        <f>AL30-AL50</f>
        <v>-13425.849999999999</v>
      </c>
      <c r="AM51" s="105">
        <f>AM30-AM50</f>
        <v>-0.25</v>
      </c>
      <c r="AN51" s="103">
        <f>IF(AM51=0,"",AL51/AM51)</f>
        <v>53703.399999999994</v>
      </c>
      <c r="AO51" s="78"/>
      <c r="AP51" s="105">
        <f>AP30-AP50</f>
        <v>-2369.0000000000146</v>
      </c>
      <c r="AQ51" s="105">
        <f>AQ30-AQ50</f>
        <v>-2369.0000000000291</v>
      </c>
      <c r="AR51" s="105">
        <f>AR30-AR50</f>
        <v>-1216.0900000000838</v>
      </c>
      <c r="AS51" s="103">
        <f>IF(AR51=0,"",AQ51/AR51)</f>
        <v>1.9480466083923607</v>
      </c>
      <c r="AT51" s="78"/>
      <c r="AU51" s="105">
        <f>AU30-AU50</f>
        <v>-8423.1100000000442</v>
      </c>
      <c r="AV51" s="120">
        <f>AV30-AV50</f>
        <v>-15794.850000000093</v>
      </c>
      <c r="AW51" s="120">
        <f>AW30-AW50</f>
        <v>-1216.1200000001118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1657643.69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1657643.69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-1657643.69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-1657643.69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0</v>
      </c>
      <c r="I58" s="113"/>
      <c r="J58" s="114" t="s">
        <v>96</v>
      </c>
      <c r="K58" s="113"/>
      <c r="L58" s="113"/>
      <c r="M58" s="113">
        <f>M51+M56</f>
        <v>0</v>
      </c>
      <c r="N58" s="113"/>
      <c r="O58" s="113"/>
      <c r="P58" s="113"/>
      <c r="Q58" s="113"/>
      <c r="R58" s="113">
        <f>R51+R56</f>
        <v>0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0</v>
      </c>
      <c r="AC58" s="112"/>
      <c r="AD58" s="112"/>
      <c r="AE58" s="112"/>
      <c r="AF58" s="112"/>
      <c r="AG58" s="115">
        <f>AG51+AG56</f>
        <v>0</v>
      </c>
      <c r="AH58" s="112"/>
      <c r="AI58" s="112"/>
      <c r="AJ58" s="112"/>
      <c r="AK58" s="112"/>
      <c r="AL58" s="115">
        <f>AL51+AL56</f>
        <v>-13425.849999999999</v>
      </c>
      <c r="AM58" s="112"/>
      <c r="AN58" s="112"/>
      <c r="AO58" s="112"/>
      <c r="AP58" s="112"/>
      <c r="AQ58" s="115">
        <f>AQ51+AQ56</f>
        <v>-1660012.69</v>
      </c>
      <c r="AR58" s="112"/>
      <c r="AS58" s="112"/>
      <c r="AT58" s="112"/>
      <c r="AU58" s="112"/>
      <c r="AV58" s="123">
        <f>AV51+AV56</f>
        <v>-1673438.54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  <mergeCell ref="AU9:AX9"/>
    <mergeCell ref="V9:Y9"/>
    <mergeCell ref="AA9:AD9"/>
    <mergeCell ref="AF9:AI9"/>
    <mergeCell ref="AK9:AN9"/>
    <mergeCell ref="AP9:A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>
    <pageSetUpPr fitToPage="1"/>
  </sheetPr>
  <dimension ref="A1:Z69"/>
  <sheetViews>
    <sheetView topLeftCell="F1" zoomScale="90" zoomScaleNormal="90" zoomScaleSheetLayoutView="50" zoomScalePageLayoutView="40" workbookViewId="0">
      <selection activeCell="O8" sqref="O8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7" style="4" bestFit="1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6.7109375" style="14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9" t="s">
        <v>51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6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6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6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3" t="s">
        <v>9</v>
      </c>
      <c r="W11" s="154"/>
      <c r="X11" s="154"/>
      <c r="Y11" s="156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48971.25</v>
      </c>
      <c r="M17" s="19">
        <v>52977.8</v>
      </c>
      <c r="N17" s="19">
        <v>339077.05</v>
      </c>
      <c r="O17" s="20">
        <f>IF(N17=0,"%",M17/N17)</f>
        <v>0.15624118471008286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48971.25</v>
      </c>
      <c r="W17" s="23">
        <f t="shared" si="1"/>
        <v>52977.8</v>
      </c>
      <c r="X17" s="23">
        <f t="shared" si="1"/>
        <v>339077.05</v>
      </c>
      <c r="Y17" s="8">
        <f>IF(X17=0,"%",W17/X17)</f>
        <v>0.15624118471008286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387497.53</v>
      </c>
      <c r="H19" s="19">
        <v>775086.45</v>
      </c>
      <c r="I19" s="130">
        <v>4589751</v>
      </c>
      <c r="J19" s="20">
        <f t="shared" si="2"/>
        <v>0.16887331142800557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387497.53</v>
      </c>
      <c r="W19" s="23">
        <f t="shared" si="5"/>
        <v>775086.45</v>
      </c>
      <c r="X19" s="23">
        <f t="shared" si="5"/>
        <v>4589751</v>
      </c>
      <c r="Y19" s="8">
        <f t="shared" ref="Y19:Y31" si="6">IF(X19=0,"%",W19/X19)</f>
        <v>0.16887331142800557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7515.14</v>
      </c>
      <c r="H21" s="19">
        <v>14908.78</v>
      </c>
      <c r="I21" s="130">
        <v>82545</v>
      </c>
      <c r="J21" s="20">
        <f t="shared" si="2"/>
        <v>0.18061396813859107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7515.14</v>
      </c>
      <c r="W21" s="23">
        <f t="shared" si="5"/>
        <v>14908.78</v>
      </c>
      <c r="X21" s="23">
        <f t="shared" si="5"/>
        <v>82545</v>
      </c>
      <c r="Y21" s="8">
        <f t="shared" si="6"/>
        <v>0.18061396813859107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61633.48</v>
      </c>
      <c r="H22" s="19">
        <v>122736.66</v>
      </c>
      <c r="I22" s="130">
        <v>685934</v>
      </c>
      <c r="J22" s="20">
        <f t="shared" si="2"/>
        <v>0.17893362918298261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61633.48</v>
      </c>
      <c r="W22" s="23">
        <f t="shared" si="5"/>
        <v>122736.66</v>
      </c>
      <c r="X22" s="23">
        <f t="shared" si="5"/>
        <v>685934</v>
      </c>
      <c r="Y22" s="8">
        <f t="shared" si="6"/>
        <v>0.17893362918298261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30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0</v>
      </c>
      <c r="Y24" s="8" t="str">
        <f t="shared" si="6"/>
        <v>%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25320.76</v>
      </c>
      <c r="H27" s="19">
        <v>51028.12</v>
      </c>
      <c r="I27" s="130">
        <v>299257</v>
      </c>
      <c r="J27" s="20">
        <f t="shared" si="2"/>
        <v>0.17051604473746645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25320.76</v>
      </c>
      <c r="W27" s="23">
        <f t="shared" si="9"/>
        <v>51028.12</v>
      </c>
      <c r="X27" s="23">
        <f t="shared" si="9"/>
        <v>299257</v>
      </c>
      <c r="Y27" s="8">
        <f t="shared" si="6"/>
        <v>0.17051604473746645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30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6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0</v>
      </c>
      <c r="J30" s="20" t="str">
        <f t="shared" si="2"/>
        <v>%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0</v>
      </c>
      <c r="Y30" s="8" t="str">
        <f t="shared" si="6"/>
        <v>%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6085.71</v>
      </c>
      <c r="R31" s="19">
        <v>6085.71</v>
      </c>
      <c r="S31" s="19">
        <v>0</v>
      </c>
      <c r="T31" s="20" t="str">
        <f t="shared" si="8"/>
        <v>%</v>
      </c>
      <c r="U31" s="28"/>
      <c r="V31" s="19">
        <f t="shared" si="9"/>
        <v>6085.71</v>
      </c>
      <c r="W31" s="23">
        <f t="shared" si="9"/>
        <v>6085.71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481966.91000000003</v>
      </c>
      <c r="H32" s="57">
        <f>SUM(H16:H31)</f>
        <v>963760.01</v>
      </c>
      <c r="I32" s="57">
        <f>SUM(I16:I31)</f>
        <v>5657487</v>
      </c>
      <c r="J32" s="31">
        <f>IF(I32=0,"",H32/I32)</f>
        <v>0.17035125489462016</v>
      </c>
      <c r="K32" s="29"/>
      <c r="L32" s="57">
        <f>SUM(L16:L31)</f>
        <v>48971.25</v>
      </c>
      <c r="M32" s="57">
        <f>SUM(M16:M31)</f>
        <v>52977.8</v>
      </c>
      <c r="N32" s="57">
        <f>SUM(N16:N31)</f>
        <v>339077.05</v>
      </c>
      <c r="O32" s="139">
        <f>IF(N32=0,"",M32/N32)</f>
        <v>0.15624118471008286</v>
      </c>
      <c r="P32" s="28"/>
      <c r="Q32" s="71">
        <f>SUM(Q16:Q31)</f>
        <v>6085.71</v>
      </c>
      <c r="R32" s="71">
        <f>SUM(R16:R31)</f>
        <v>6085.71</v>
      </c>
      <c r="S32" s="71">
        <f>SUM(S16:S31)</f>
        <v>0</v>
      </c>
      <c r="T32" s="139" t="str">
        <f>IF(S32=0,"",R32/S32)</f>
        <v/>
      </c>
      <c r="U32" s="28"/>
      <c r="V32" s="71">
        <f>SUM(V16:V31)</f>
        <v>537023.87</v>
      </c>
      <c r="W32" s="57">
        <f>SUM(W16:W31)</f>
        <v>1022823.52</v>
      </c>
      <c r="X32" s="57">
        <f>SUM(X16:X31)</f>
        <v>5996564.0499999998</v>
      </c>
      <c r="Y32" s="31">
        <f>IF(X32=0,"",W32/X32)</f>
        <v>0.17056826400445102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335244.72000000003</v>
      </c>
      <c r="H36" s="19">
        <v>348826.52999999991</v>
      </c>
      <c r="I36" s="19">
        <v>3990635.8399999994</v>
      </c>
      <c r="J36" s="8">
        <f t="shared" ref="J36:J51" si="10">IF(I36=0,"%",H36/I36)</f>
        <v>8.7411265769617302E-2</v>
      </c>
      <c r="K36" s="29"/>
      <c r="L36" s="19">
        <v>37977.770000000004</v>
      </c>
      <c r="M36" s="19">
        <v>41984.320000000007</v>
      </c>
      <c r="N36" s="19">
        <v>257180.85</v>
      </c>
      <c r="O36" s="20">
        <f t="shared" ref="O36:O51" si="11">IF(N36=0,"%",M36/N36)</f>
        <v>0.16324823562874144</v>
      </c>
      <c r="P36" s="28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8"/>
      <c r="V36" s="19">
        <f t="shared" ref="V36:V51" si="13">G36+L36+Q36</f>
        <v>373222.49000000005</v>
      </c>
      <c r="W36" s="23">
        <f t="shared" ref="W36:W51" si="14">H36+M36+R36</f>
        <v>390810.84999999992</v>
      </c>
      <c r="X36" s="23">
        <f t="shared" ref="X36:X51" si="15">I36+N36+S36</f>
        <v>4247816.6899999995</v>
      </c>
      <c r="Y36" s="8">
        <f t="shared" ref="Y36:Y51" si="16">IF(X36=0,"%",W36/X36)</f>
        <v>9.2002757774370905E-2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28396.690000000002</v>
      </c>
      <c r="H37" s="19">
        <v>28401.65</v>
      </c>
      <c r="I37" s="19">
        <v>313432.13999999996</v>
      </c>
      <c r="J37" s="8">
        <f t="shared" si="10"/>
        <v>9.061498926051427E-2</v>
      </c>
      <c r="K37" s="29"/>
      <c r="L37" s="23">
        <v>10993.48</v>
      </c>
      <c r="M37" s="23">
        <v>10993.48</v>
      </c>
      <c r="N37" s="23">
        <v>81896.210000000006</v>
      </c>
      <c r="O37" s="20">
        <f t="shared" si="11"/>
        <v>0.13423673696255295</v>
      </c>
      <c r="P37" s="28"/>
      <c r="Q37" s="19">
        <v>0</v>
      </c>
      <c r="R37" s="19">
        <v>0</v>
      </c>
      <c r="S37" s="19">
        <v>0</v>
      </c>
      <c r="T37" s="20" t="str">
        <f t="shared" si="12"/>
        <v>%</v>
      </c>
      <c r="U37" s="28"/>
      <c r="V37" s="19">
        <f t="shared" si="13"/>
        <v>39390.17</v>
      </c>
      <c r="W37" s="23">
        <f t="shared" si="14"/>
        <v>39395.130000000005</v>
      </c>
      <c r="X37" s="23">
        <f t="shared" si="15"/>
        <v>395328.35</v>
      </c>
      <c r="Y37" s="8">
        <f t="shared" si="16"/>
        <v>9.9651669302239537E-2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0"/>
        <v>0</v>
      </c>
      <c r="K38" s="29"/>
      <c r="L38" s="23">
        <v>0</v>
      </c>
      <c r="M38" s="23">
        <v>0</v>
      </c>
      <c r="N38" s="23">
        <v>0</v>
      </c>
      <c r="O38" s="20" t="str">
        <f t="shared" si="11"/>
        <v>%</v>
      </c>
      <c r="P38" s="28"/>
      <c r="Q38" s="19">
        <v>0</v>
      </c>
      <c r="R38" s="19">
        <v>0</v>
      </c>
      <c r="S38" s="19">
        <v>0</v>
      </c>
      <c r="T38" s="20" t="str">
        <f t="shared" si="12"/>
        <v>%</v>
      </c>
      <c r="U38" s="28"/>
      <c r="V38" s="19">
        <f t="shared" si="13"/>
        <v>0</v>
      </c>
      <c r="W38" s="23">
        <f t="shared" si="14"/>
        <v>0</v>
      </c>
      <c r="X38" s="23">
        <f t="shared" si="15"/>
        <v>18000</v>
      </c>
      <c r="Y38" s="8">
        <f t="shared" si="16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20" t="str">
        <f t="shared" si="11"/>
        <v>%</v>
      </c>
      <c r="P39" s="28"/>
      <c r="Q39" s="19">
        <v>0</v>
      </c>
      <c r="R39" s="19">
        <v>0</v>
      </c>
      <c r="S39" s="19">
        <v>0</v>
      </c>
      <c r="T39" s="20" t="str">
        <f t="shared" si="12"/>
        <v>%</v>
      </c>
      <c r="U39" s="28"/>
      <c r="V39" s="19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37656.54</v>
      </c>
      <c r="H40" s="19">
        <v>77113.41</v>
      </c>
      <c r="I40" s="19">
        <v>456735.28000000009</v>
      </c>
      <c r="J40" s="8">
        <f t="shared" si="10"/>
        <v>0.16883611443372623</v>
      </c>
      <c r="K40" s="29"/>
      <c r="L40" s="23">
        <v>0</v>
      </c>
      <c r="M40" s="23">
        <v>0</v>
      </c>
      <c r="N40" s="23">
        <v>0</v>
      </c>
      <c r="O40" s="20" t="str">
        <f t="shared" si="11"/>
        <v>%</v>
      </c>
      <c r="P40" s="28"/>
      <c r="Q40" s="19">
        <v>0</v>
      </c>
      <c r="R40" s="19">
        <v>0</v>
      </c>
      <c r="S40" s="19">
        <v>0</v>
      </c>
      <c r="T40" s="20" t="str">
        <f t="shared" si="12"/>
        <v>%</v>
      </c>
      <c r="U40" s="28"/>
      <c r="V40" s="19">
        <f t="shared" si="13"/>
        <v>37656.54</v>
      </c>
      <c r="W40" s="23">
        <f t="shared" si="14"/>
        <v>77113.41</v>
      </c>
      <c r="X40" s="23">
        <f t="shared" si="15"/>
        <v>456735.28000000009</v>
      </c>
      <c r="Y40" s="8">
        <f t="shared" si="16"/>
        <v>0.16883611443372623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20" t="str">
        <f t="shared" si="11"/>
        <v>%</v>
      </c>
      <c r="P41" s="28"/>
      <c r="Q41" s="19">
        <v>0</v>
      </c>
      <c r="R41" s="19">
        <v>0</v>
      </c>
      <c r="S41" s="19">
        <v>0</v>
      </c>
      <c r="T41" s="20" t="str">
        <f t="shared" si="12"/>
        <v>%</v>
      </c>
      <c r="U41" s="28"/>
      <c r="V41" s="19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2430.19</v>
      </c>
      <c r="H42" s="19">
        <v>4852.75</v>
      </c>
      <c r="I42" s="19">
        <v>26169</v>
      </c>
      <c r="J42" s="8">
        <f t="shared" si="10"/>
        <v>0.18543887806182888</v>
      </c>
      <c r="K42" s="29"/>
      <c r="L42" s="23">
        <v>0</v>
      </c>
      <c r="M42" s="23">
        <v>0</v>
      </c>
      <c r="N42" s="23">
        <v>0</v>
      </c>
      <c r="O42" s="20" t="str">
        <f t="shared" si="11"/>
        <v>%</v>
      </c>
      <c r="P42" s="28"/>
      <c r="Q42" s="19">
        <v>0</v>
      </c>
      <c r="R42" s="19">
        <v>0</v>
      </c>
      <c r="S42" s="19">
        <v>0</v>
      </c>
      <c r="T42" s="20" t="str">
        <f t="shared" si="12"/>
        <v>%</v>
      </c>
      <c r="U42" s="28"/>
      <c r="V42" s="19">
        <f t="shared" si="13"/>
        <v>2430.19</v>
      </c>
      <c r="W42" s="23">
        <f t="shared" si="14"/>
        <v>4852.75</v>
      </c>
      <c r="X42" s="23">
        <f t="shared" si="15"/>
        <v>26169</v>
      </c>
      <c r="Y42" s="8">
        <f t="shared" si="16"/>
        <v>0.18543887806182888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20" t="str">
        <f t="shared" si="11"/>
        <v>%</v>
      </c>
      <c r="P43" s="28"/>
      <c r="Q43" s="19">
        <v>0</v>
      </c>
      <c r="R43" s="19">
        <v>0</v>
      </c>
      <c r="S43" s="19">
        <v>0</v>
      </c>
      <c r="T43" s="20" t="str">
        <f t="shared" si="12"/>
        <v>%</v>
      </c>
      <c r="U43" s="28"/>
      <c r="V43" s="19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20" t="str">
        <f t="shared" si="11"/>
        <v>%</v>
      </c>
      <c r="P44" s="28"/>
      <c r="Q44" s="19">
        <v>0</v>
      </c>
      <c r="R44" s="19">
        <v>0</v>
      </c>
      <c r="S44" s="19">
        <v>0</v>
      </c>
      <c r="T44" s="20" t="str">
        <f t="shared" si="12"/>
        <v>%</v>
      </c>
      <c r="U44" s="28"/>
      <c r="V44" s="19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20" t="str">
        <f t="shared" si="11"/>
        <v>%</v>
      </c>
      <c r="P45" s="28"/>
      <c r="Q45" s="19">
        <v>0</v>
      </c>
      <c r="R45" s="19">
        <v>0</v>
      </c>
      <c r="S45" s="19">
        <v>0</v>
      </c>
      <c r="T45" s="20" t="str">
        <f t="shared" si="12"/>
        <v>%</v>
      </c>
      <c r="U45" s="28"/>
      <c r="V45" s="19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40411.42</v>
      </c>
      <c r="H46" s="19">
        <v>88581.010000000009</v>
      </c>
      <c r="I46" s="19">
        <v>481862.5</v>
      </c>
      <c r="J46" s="8">
        <f t="shared" si="10"/>
        <v>0.18383047031051392</v>
      </c>
      <c r="K46" s="29"/>
      <c r="L46" s="23">
        <v>0</v>
      </c>
      <c r="M46" s="23">
        <v>0</v>
      </c>
      <c r="N46" s="23">
        <v>0</v>
      </c>
      <c r="O46" s="20" t="str">
        <f t="shared" si="11"/>
        <v>%</v>
      </c>
      <c r="P46" s="28"/>
      <c r="Q46" s="19">
        <v>0</v>
      </c>
      <c r="R46" s="19">
        <v>0</v>
      </c>
      <c r="S46" s="19">
        <v>0</v>
      </c>
      <c r="T46" s="20" t="str">
        <f t="shared" si="12"/>
        <v>%</v>
      </c>
      <c r="U46" s="28"/>
      <c r="V46" s="19">
        <f t="shared" si="13"/>
        <v>40411.42</v>
      </c>
      <c r="W46" s="23">
        <f t="shared" si="14"/>
        <v>88581.010000000009</v>
      </c>
      <c r="X46" s="23">
        <f t="shared" si="15"/>
        <v>481862.5</v>
      </c>
      <c r="Y46" s="8">
        <f t="shared" si="16"/>
        <v>0.18383047031051392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6379.3899999999994</v>
      </c>
      <c r="H47" s="23">
        <v>21148.98</v>
      </c>
      <c r="I47" s="23">
        <v>0</v>
      </c>
      <c r="J47" s="8" t="str">
        <f t="shared" si="10"/>
        <v>%</v>
      </c>
      <c r="K47" s="29"/>
      <c r="L47" s="23">
        <v>0</v>
      </c>
      <c r="M47" s="23">
        <v>0</v>
      </c>
      <c r="N47" s="23">
        <v>0</v>
      </c>
      <c r="O47" s="20" t="str">
        <f t="shared" si="11"/>
        <v>%</v>
      </c>
      <c r="P47" s="28"/>
      <c r="Q47" s="19">
        <v>0</v>
      </c>
      <c r="R47" s="19">
        <v>0</v>
      </c>
      <c r="S47" s="19">
        <v>0</v>
      </c>
      <c r="T47" s="20" t="str">
        <f t="shared" si="12"/>
        <v>%</v>
      </c>
      <c r="U47" s="28"/>
      <c r="V47" s="19">
        <f t="shared" si="13"/>
        <v>6379.3899999999994</v>
      </c>
      <c r="W47" s="23">
        <f t="shared" si="14"/>
        <v>21148.98</v>
      </c>
      <c r="X47" s="23">
        <f t="shared" si="15"/>
        <v>0</v>
      </c>
      <c r="Y47" s="8" t="str">
        <f t="shared" si="16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20" t="str">
        <f t="shared" si="11"/>
        <v>%</v>
      </c>
      <c r="P48" s="28"/>
      <c r="Q48" s="19">
        <v>0</v>
      </c>
      <c r="R48" s="19">
        <v>0</v>
      </c>
      <c r="S48" s="19">
        <v>0</v>
      </c>
      <c r="T48" s="20" t="str">
        <f t="shared" si="12"/>
        <v>%</v>
      </c>
      <c r="U48" s="28"/>
      <c r="V48" s="19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20" t="str">
        <f t="shared" si="11"/>
        <v>%</v>
      </c>
      <c r="P49" s="28"/>
      <c r="Q49" s="19">
        <v>0</v>
      </c>
      <c r="R49" s="19">
        <v>0</v>
      </c>
      <c r="S49" s="19">
        <v>0</v>
      </c>
      <c r="T49" s="20" t="str">
        <f t="shared" si="12"/>
        <v>%</v>
      </c>
      <c r="U49" s="28"/>
      <c r="V49" s="19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20" t="str">
        <f t="shared" si="11"/>
        <v>%</v>
      </c>
      <c r="P50" s="28"/>
      <c r="Q50" s="19">
        <v>0</v>
      </c>
      <c r="R50" s="19">
        <v>0</v>
      </c>
      <c r="S50" s="19">
        <v>0</v>
      </c>
      <c r="T50" s="20" t="str">
        <f t="shared" si="12"/>
        <v>%</v>
      </c>
      <c r="U50" s="28"/>
      <c r="V50" s="19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20" t="str">
        <f t="shared" si="11"/>
        <v>%</v>
      </c>
      <c r="P51" s="28"/>
      <c r="Q51" s="19">
        <v>3689.56</v>
      </c>
      <c r="R51" s="19">
        <f>11450.77-5365</f>
        <v>6085.77</v>
      </c>
      <c r="S51" s="19">
        <v>0</v>
      </c>
      <c r="T51" s="20" t="str">
        <f t="shared" si="12"/>
        <v>%</v>
      </c>
      <c r="U51" s="28"/>
      <c r="V51" s="19">
        <f t="shared" si="13"/>
        <v>3689.56</v>
      </c>
      <c r="W51" s="23">
        <f t="shared" si="14"/>
        <v>6085.77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450518.95</v>
      </c>
      <c r="H52" s="57">
        <f>SUM(H36:H51)</f>
        <v>568924.32999999996</v>
      </c>
      <c r="I52" s="57">
        <f>SUM(I36:I51)</f>
        <v>5286834.76</v>
      </c>
      <c r="J52" s="31">
        <f>IF(I52=0,"",H52/I52)</f>
        <v>0.10761152103796791</v>
      </c>
      <c r="K52" s="29"/>
      <c r="L52" s="57">
        <f>SUM(L36:L51)</f>
        <v>48971.25</v>
      </c>
      <c r="M52" s="57">
        <f>SUM(M36:M51)</f>
        <v>52977.8</v>
      </c>
      <c r="N52" s="57">
        <f>SUM(N36:N51)</f>
        <v>339077.06</v>
      </c>
      <c r="O52" s="139">
        <f>IF(N52=0,"",M52/N52)</f>
        <v>0.1562411801022458</v>
      </c>
      <c r="P52" s="28"/>
      <c r="Q52" s="71">
        <f>SUM(Q36:Q51)</f>
        <v>3689.56</v>
      </c>
      <c r="R52" s="71">
        <f>SUM(R36:R51)</f>
        <v>6085.77</v>
      </c>
      <c r="S52" s="71">
        <f>SUM(S36:S51)</f>
        <v>0</v>
      </c>
      <c r="T52" s="139" t="str">
        <f>IF(S52=0,"",R52/S52)</f>
        <v/>
      </c>
      <c r="U52" s="28"/>
      <c r="V52" s="71">
        <f>SUM(V36:V51)</f>
        <v>503179.76</v>
      </c>
      <c r="W52" s="57">
        <f>SUM(W36:W51)</f>
        <v>627987.89999999991</v>
      </c>
      <c r="X52" s="57">
        <f>SUM(X36:X51)</f>
        <v>5625911.8199999994</v>
      </c>
      <c r="Y52" s="31">
        <f>IF(X52=0,"",W52/X52)</f>
        <v>0.11162419890185907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31447.960000000021</v>
      </c>
      <c r="H53" s="58">
        <f>H32-H52</f>
        <v>394835.68000000005</v>
      </c>
      <c r="I53" s="58">
        <f>I32-I52</f>
        <v>370652.24000000022</v>
      </c>
      <c r="J53" s="31">
        <f>IF(I53=0,"",H53/I53)</f>
        <v>1.0652456329415405</v>
      </c>
      <c r="K53" s="29"/>
      <c r="L53" s="58">
        <f>L32-L52</f>
        <v>0</v>
      </c>
      <c r="M53" s="58">
        <f>M32-M52</f>
        <v>0</v>
      </c>
      <c r="N53" s="58">
        <f>N32-N52</f>
        <v>-1.0000000009313226E-2</v>
      </c>
      <c r="O53" s="139"/>
      <c r="P53" s="28"/>
      <c r="Q53" s="136">
        <f>Q32-Q52</f>
        <v>2396.15</v>
      </c>
      <c r="R53" s="136">
        <f>R32-R52</f>
        <v>-6.0000000000400178E-2</v>
      </c>
      <c r="S53" s="136">
        <f>S32-S52</f>
        <v>0</v>
      </c>
      <c r="T53" s="139" t="str">
        <f>IF(S53=0,"",R53/S53)</f>
        <v/>
      </c>
      <c r="U53" s="28"/>
      <c r="V53" s="136">
        <f>V32-V52</f>
        <v>33844.109999999986</v>
      </c>
      <c r="W53" s="58">
        <f>W32-W52</f>
        <v>394835.62000000011</v>
      </c>
      <c r="X53" s="58">
        <f>X32-X52</f>
        <v>370652.23000000045</v>
      </c>
      <c r="Y53" s="31">
        <f>IF(X53=0,"",W53/X53)</f>
        <v>1.0652454998044922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195164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7">G56+L56+Q56</f>
        <v>0</v>
      </c>
      <c r="W56" s="66">
        <f t="shared" si="17"/>
        <v>0</v>
      </c>
      <c r="X56" s="59">
        <f t="shared" si="17"/>
        <v>195164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65918.62999999999</v>
      </c>
      <c r="H57" s="19">
        <v>106433.91</v>
      </c>
      <c r="I57" s="19">
        <v>565816.25</v>
      </c>
      <c r="J57" s="8">
        <f>IF(I57=0,"%",H57/I57)</f>
        <v>0.18810684564114233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7"/>
        <v>65918.62999999999</v>
      </c>
      <c r="W57" s="66">
        <f t="shared" si="17"/>
        <v>106433.91</v>
      </c>
      <c r="X57" s="59">
        <f t="shared" si="17"/>
        <v>565816.25</v>
      </c>
      <c r="Y57" s="8">
        <f>IF(X57=0,"%",W57/X57)</f>
        <v>0.18810684564114233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-65918.62999999999</v>
      </c>
      <c r="H58" s="57">
        <f>SUM(H56-H57)</f>
        <v>-106433.91</v>
      </c>
      <c r="I58" s="57">
        <f>SUM(I56-I57)</f>
        <v>-370652.25</v>
      </c>
      <c r="J58" s="31">
        <f>IF(I58=0,"",H58/I58)</f>
        <v>0.28715301202137583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9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9" t="str">
        <f>IF(S58=0,"",R58/S58)</f>
        <v/>
      </c>
      <c r="U58" s="28"/>
      <c r="V58" s="71">
        <f>SUM(V56:V57)</f>
        <v>65918.62999999999</v>
      </c>
      <c r="W58" s="57">
        <f>W56-W57</f>
        <v>-106433.91</v>
      </c>
      <c r="X58" s="57">
        <f>SUM(X56:X57)</f>
        <v>760980.25</v>
      </c>
      <c r="Y58" s="31">
        <f>IF(X58=0,"",W58/X58)</f>
        <v>-0.13986422118051028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31" t="str">
        <f t="shared" ref="J59" si="18">IF(I59=0,"",H59/I59)</f>
        <v/>
      </c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-34470.669999999969</v>
      </c>
      <c r="H60" s="59">
        <f>H53+H58</f>
        <v>288401.77</v>
      </c>
      <c r="I60" s="59"/>
      <c r="J60" s="31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-6.0000000000400178E-2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288401.71000000008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9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9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-34470.669999999969</v>
      </c>
      <c r="H65" s="65">
        <f>H63+H60</f>
        <v>288401.77</v>
      </c>
      <c r="I65" s="65">
        <f>I63+I60</f>
        <v>0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4" t="str">
        <f>IF(N65=0,"%",M65/N65)</f>
        <v>%</v>
      </c>
      <c r="P65" s="145"/>
      <c r="Q65" s="146">
        <f>Q63+Q60</f>
        <v>0</v>
      </c>
      <c r="R65" s="146">
        <f>R63+R60</f>
        <v>-6.0000000000400178E-2</v>
      </c>
      <c r="S65" s="146">
        <f>S63+S60</f>
        <v>0</v>
      </c>
      <c r="T65" s="144" t="str">
        <f>IF(S65=0,"%",R65/S65)</f>
        <v>%</v>
      </c>
      <c r="U65" s="145"/>
      <c r="V65" s="146">
        <f>V63+V60</f>
        <v>0</v>
      </c>
      <c r="W65" s="65">
        <f>W63+W60</f>
        <v>288401.71000000008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>
    <pageSetUpPr fitToPage="1"/>
  </sheetPr>
  <dimension ref="A1:Z68"/>
  <sheetViews>
    <sheetView topLeftCell="F1" zoomScale="80" zoomScaleNormal="80" zoomScaleSheetLayoutView="50" zoomScalePageLayoutView="40" workbookViewId="0">
      <selection activeCell="O14" sqref="O14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6.7109375" style="142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9" t="s">
        <v>52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6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6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6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3" t="s">
        <v>9</v>
      </c>
      <c r="W11" s="154"/>
      <c r="X11" s="154"/>
      <c r="Y11" s="156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24163.75</v>
      </c>
      <c r="M17" s="19">
        <v>38121.360000000001</v>
      </c>
      <c r="N17" s="19">
        <v>341586.94</v>
      </c>
      <c r="O17" s="20">
        <f>IF(N17=0,"%",M17/N17)</f>
        <v>0.11160075382273105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24163.75</v>
      </c>
      <c r="W17" s="23">
        <f t="shared" si="1"/>
        <v>38121.360000000001</v>
      </c>
      <c r="X17" s="23">
        <f t="shared" si="1"/>
        <v>341586.94</v>
      </c>
      <c r="Y17" s="8">
        <f>IF(X17=0,"%",W17/X17)</f>
        <v>0.11160075382273105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287386.06</v>
      </c>
      <c r="H19" s="19">
        <v>563404.42000000004</v>
      </c>
      <c r="I19" s="19">
        <v>3376417</v>
      </c>
      <c r="J19" s="20">
        <f t="shared" si="2"/>
        <v>0.16686458455812775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287386.06</v>
      </c>
      <c r="W19" s="23">
        <f t="shared" si="5"/>
        <v>563404.42000000004</v>
      </c>
      <c r="X19" s="23">
        <f t="shared" si="5"/>
        <v>3376417</v>
      </c>
      <c r="Y19" s="8">
        <f t="shared" ref="Y19:Y24" si="6">IF(X19=0,"%",W19/X19)</f>
        <v>0.16686458455812775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12986.61</v>
      </c>
      <c r="H21" s="19">
        <v>25763.52</v>
      </c>
      <c r="I21" s="19">
        <v>142643</v>
      </c>
      <c r="J21" s="20">
        <f t="shared" si="2"/>
        <v>0.180615382458305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12986.61</v>
      </c>
      <c r="W21" s="23">
        <f t="shared" si="5"/>
        <v>25763.52</v>
      </c>
      <c r="X21" s="23">
        <f t="shared" si="5"/>
        <v>142643</v>
      </c>
      <c r="Y21" s="8">
        <f>IF(X21=0,"%",W21/X21)</f>
        <v>0.180615382458305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43914.26</v>
      </c>
      <c r="H22" s="19">
        <v>87450.62</v>
      </c>
      <c r="I22" s="19">
        <v>478875</v>
      </c>
      <c r="J22" s="20">
        <f t="shared" si="2"/>
        <v>0.18261679979117723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43914.26</v>
      </c>
      <c r="W22" s="23">
        <f t="shared" si="5"/>
        <v>87450.62</v>
      </c>
      <c r="X22" s="23">
        <f t="shared" si="5"/>
        <v>478875</v>
      </c>
      <c r="Y22" s="8">
        <f>IF(X22=0,"%",W22/X22)</f>
        <v>0.18261679979117723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0</v>
      </c>
      <c r="Y24" s="8" t="str">
        <f t="shared" si="6"/>
        <v>%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17796.39</v>
      </c>
      <c r="H27" s="19">
        <v>35864.480000000003</v>
      </c>
      <c r="I27" s="19">
        <v>208797</v>
      </c>
      <c r="J27" s="20">
        <f t="shared" si="2"/>
        <v>0.17176721887766588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17796.39</v>
      </c>
      <c r="W27" s="23">
        <f t="shared" si="9"/>
        <v>35864.480000000003</v>
      </c>
      <c r="X27" s="23">
        <f t="shared" si="9"/>
        <v>208797</v>
      </c>
      <c r="Y27" s="8">
        <f t="shared" si="10"/>
        <v>0.17176721887766588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/>
      <c r="I29" s="19"/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10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10000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10000</v>
      </c>
      <c r="Y30" s="8">
        <f t="shared" si="10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1311.81</v>
      </c>
      <c r="R31" s="19">
        <v>1941.09</v>
      </c>
      <c r="S31" s="19">
        <v>0</v>
      </c>
      <c r="T31" s="20" t="str">
        <f t="shared" si="8"/>
        <v>%</v>
      </c>
      <c r="U31" s="28"/>
      <c r="V31" s="19">
        <f t="shared" si="9"/>
        <v>1311.81</v>
      </c>
      <c r="W31" s="23">
        <f t="shared" si="9"/>
        <v>1941.09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362083.32</v>
      </c>
      <c r="H32" s="57">
        <f>SUM(H16:H31)</f>
        <v>712483.04</v>
      </c>
      <c r="I32" s="57">
        <f>SUM(I16:I31)</f>
        <v>4216732</v>
      </c>
      <c r="J32" s="31">
        <f>IF(I32=0,"",H32/I32)</f>
        <v>0.16896569191497113</v>
      </c>
      <c r="K32" s="29"/>
      <c r="L32" s="57">
        <f>SUM(L16:L31)</f>
        <v>24163.75</v>
      </c>
      <c r="M32" s="57">
        <f>SUM(M16:M31)</f>
        <v>38121.360000000001</v>
      </c>
      <c r="N32" s="57">
        <f>SUM(N16:N31)</f>
        <v>341586.94</v>
      </c>
      <c r="O32" s="139">
        <f>IF(N32=0,"",M32/N32)</f>
        <v>0.11160075382273105</v>
      </c>
      <c r="P32" s="28"/>
      <c r="Q32" s="71">
        <f>SUM(Q16:Q31)</f>
        <v>1311.81</v>
      </c>
      <c r="R32" s="71">
        <f>SUM(R16:R31)</f>
        <v>1941.09</v>
      </c>
      <c r="S32" s="71">
        <f>SUM(S16:S31)</f>
        <v>0</v>
      </c>
      <c r="T32" s="139" t="str">
        <f>IF(S32=0,"",R32/S32)</f>
        <v/>
      </c>
      <c r="U32" s="28"/>
      <c r="V32" s="71">
        <f>SUM(V16:V31)</f>
        <v>387558.88</v>
      </c>
      <c r="W32" s="57">
        <f>SUM(W16:W31)</f>
        <v>752545.49</v>
      </c>
      <c r="X32" s="57">
        <f>SUM(X16:X31)</f>
        <v>4558318.9399999995</v>
      </c>
      <c r="Y32" s="31">
        <f>IF(X32=0,"",W32/X32)</f>
        <v>0.16509276772985088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239308.55000000002</v>
      </c>
      <c r="H36" s="19">
        <v>251024.97000000006</v>
      </c>
      <c r="I36" s="19">
        <v>3073127.68</v>
      </c>
      <c r="J36" s="8">
        <f t="shared" ref="J36:J51" si="11">IF(I36=0,"%",H36/I36)</f>
        <v>8.1683872633629084E-2</v>
      </c>
      <c r="K36" s="29"/>
      <c r="L36" s="19">
        <v>4746.97</v>
      </c>
      <c r="M36" s="19">
        <v>18704.579999999998</v>
      </c>
      <c r="N36" s="19">
        <v>106065.72</v>
      </c>
      <c r="O36" s="20">
        <f t="shared" ref="O36:O51" si="12">IF(N36=0,"%",M36/N36)</f>
        <v>0.17634896552816498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244055.52000000002</v>
      </c>
      <c r="W36" s="23">
        <f t="shared" ref="W36:W51" si="15">H36+M36+R36</f>
        <v>269729.55000000005</v>
      </c>
      <c r="X36" s="23">
        <f t="shared" ref="X36:X51" si="16">I36+N36+S36</f>
        <v>3179193.4000000004</v>
      </c>
      <c r="Y36" s="8">
        <f t="shared" ref="Y36:Y51" si="17">IF(X36=0,"%",W36/X36)</f>
        <v>8.484213322788102E-2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17622.71</v>
      </c>
      <c r="H37" s="19">
        <v>17872.71</v>
      </c>
      <c r="I37" s="19">
        <v>179204.15</v>
      </c>
      <c r="J37" s="8">
        <f t="shared" si="11"/>
        <v>9.9733795227398475E-2</v>
      </c>
      <c r="K37" s="29"/>
      <c r="L37" s="19">
        <v>19416.78</v>
      </c>
      <c r="M37" s="19">
        <v>19416.78</v>
      </c>
      <c r="N37" s="19">
        <v>235521.21000000002</v>
      </c>
      <c r="O37" s="20">
        <f t="shared" si="12"/>
        <v>8.2441746966228635E-2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37039.49</v>
      </c>
      <c r="W37" s="23">
        <f t="shared" si="15"/>
        <v>37289.49</v>
      </c>
      <c r="X37" s="23">
        <f t="shared" si="16"/>
        <v>414725.36</v>
      </c>
      <c r="Y37" s="8">
        <f t="shared" si="17"/>
        <v>8.991369613857228E-2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18000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31971.53</v>
      </c>
      <c r="H40" s="19">
        <v>59354.790000000008</v>
      </c>
      <c r="I40" s="19">
        <v>374553.25000000006</v>
      </c>
      <c r="J40" s="8">
        <f t="shared" si="11"/>
        <v>0.15846822848286593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31971.53</v>
      </c>
      <c r="W40" s="23">
        <f t="shared" si="15"/>
        <v>59354.790000000008</v>
      </c>
      <c r="X40" s="23">
        <f t="shared" si="16"/>
        <v>374553.25000000006</v>
      </c>
      <c r="Y40" s="8">
        <f t="shared" si="17"/>
        <v>0.15846822848286593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1708.09</v>
      </c>
      <c r="H42" s="19">
        <v>3410.82</v>
      </c>
      <c r="I42" s="19">
        <v>18135</v>
      </c>
      <c r="J42" s="8">
        <f t="shared" si="11"/>
        <v>0.18807940446650126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1708.09</v>
      </c>
      <c r="W42" s="23">
        <f t="shared" si="15"/>
        <v>3410.82</v>
      </c>
      <c r="X42" s="23">
        <f t="shared" si="16"/>
        <v>18135</v>
      </c>
      <c r="Y42" s="8">
        <f t="shared" si="17"/>
        <v>0.18807940446650126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39594.089999999997</v>
      </c>
      <c r="H46" s="19">
        <v>101053.8</v>
      </c>
      <c r="I46" s="19">
        <v>447746.95</v>
      </c>
      <c r="J46" s="8">
        <f t="shared" si="11"/>
        <v>0.22569399970228721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39594.089999999997</v>
      </c>
      <c r="W46" s="23">
        <f t="shared" si="15"/>
        <v>101053.8</v>
      </c>
      <c r="X46" s="23">
        <f t="shared" si="16"/>
        <v>447746.95</v>
      </c>
      <c r="Y46" s="8">
        <f t="shared" si="17"/>
        <v>0.22569399970228721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2500</v>
      </c>
      <c r="J47" s="8">
        <f t="shared" si="11"/>
        <v>0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2500</v>
      </c>
      <c r="Y47" s="8">
        <f t="shared" si="17"/>
        <v>0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20"/>
      <c r="P50" s="28"/>
      <c r="Q50" s="19">
        <v>0</v>
      </c>
      <c r="R50" s="19">
        <v>0</v>
      </c>
      <c r="S50" s="19">
        <v>0</v>
      </c>
      <c r="T50" s="20"/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47">
        <v>690.69</v>
      </c>
      <c r="R51" s="19">
        <v>842.76</v>
      </c>
      <c r="S51" s="19">
        <v>0</v>
      </c>
      <c r="T51" s="20" t="str">
        <f t="shared" si="13"/>
        <v>%</v>
      </c>
      <c r="U51" s="28"/>
      <c r="V51" s="19">
        <f t="shared" si="14"/>
        <v>690.69</v>
      </c>
      <c r="W51" s="23">
        <f t="shared" si="15"/>
        <v>842.76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330204.97000000009</v>
      </c>
      <c r="H52" s="57">
        <f>SUM(H36:H51)</f>
        <v>432717.09000000008</v>
      </c>
      <c r="I52" s="57">
        <f>SUM(I36:I51)</f>
        <v>4113267.0300000003</v>
      </c>
      <c r="J52" s="31">
        <f>IF(I52=0,"",H52/I52)</f>
        <v>0.10520033998376227</v>
      </c>
      <c r="K52" s="29"/>
      <c r="L52" s="57">
        <f>SUM(L36:L51)</f>
        <v>24163.75</v>
      </c>
      <c r="M52" s="57">
        <f>SUM(M36:M51)</f>
        <v>38121.360000000001</v>
      </c>
      <c r="N52" s="57">
        <f>SUM(N36:N51)</f>
        <v>341586.93000000005</v>
      </c>
      <c r="O52" s="139">
        <f>IF(N52=0,"",M52/N52)</f>
        <v>0.11160075708985702</v>
      </c>
      <c r="P52" s="28"/>
      <c r="Q52" s="71">
        <f>SUM(Q36:Q51)</f>
        <v>690.69</v>
      </c>
      <c r="R52" s="71">
        <f>SUM(R36:R51)</f>
        <v>842.76</v>
      </c>
      <c r="S52" s="71">
        <f>SUM(S36:S51)</f>
        <v>0</v>
      </c>
      <c r="T52" s="139" t="str">
        <f>IF(S52=0,"",R52/S52)</f>
        <v/>
      </c>
      <c r="U52" s="28"/>
      <c r="V52" s="71">
        <f>SUM(V36:V51)</f>
        <v>355059.41000000009</v>
      </c>
      <c r="W52" s="57">
        <f>SUM(W36:W51)</f>
        <v>471681.21000000008</v>
      </c>
      <c r="X52" s="57">
        <f>SUM(X36:X51)</f>
        <v>4454853.96</v>
      </c>
      <c r="Y52" s="31">
        <f>IF(X52=0,"",W52/X52)</f>
        <v>0.10588028569178956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31878.349999999919</v>
      </c>
      <c r="H53" s="58">
        <f>H32-H52</f>
        <v>279765.94999999995</v>
      </c>
      <c r="I53" s="58">
        <f>I32-I52</f>
        <v>103464.96999999974</v>
      </c>
      <c r="J53" s="31">
        <f>IF(I53=0,"",H53/I53)</f>
        <v>2.7039678260188027</v>
      </c>
      <c r="K53" s="29"/>
      <c r="L53" s="58">
        <f>L32-L52</f>
        <v>0</v>
      </c>
      <c r="M53" s="58">
        <f>M32-M52</f>
        <v>0</v>
      </c>
      <c r="N53" s="58">
        <f>N32-N52</f>
        <v>9.9999999511055648E-3</v>
      </c>
      <c r="O53" s="139">
        <f>IF(N53=0,"",M53/N53)</f>
        <v>0</v>
      </c>
      <c r="P53" s="28"/>
      <c r="Q53" s="136">
        <f>Q32-Q52</f>
        <v>621.11999999999989</v>
      </c>
      <c r="R53" s="136">
        <f>R32-R52</f>
        <v>1098.33</v>
      </c>
      <c r="S53" s="136">
        <f>S32-S52</f>
        <v>0</v>
      </c>
      <c r="T53" s="139" t="str">
        <f>IF(S53=0,"",R53/S53)</f>
        <v/>
      </c>
      <c r="U53" s="28"/>
      <c r="V53" s="136">
        <f>V32-V52</f>
        <v>32499.469999999914</v>
      </c>
      <c r="W53" s="58">
        <f>W32-W52</f>
        <v>280864.27999999991</v>
      </c>
      <c r="X53" s="58">
        <f>X32-X52</f>
        <v>103464.97999999952</v>
      </c>
      <c r="Y53" s="31">
        <f>IF(X53=0,"",W53/X53)</f>
        <v>2.7145830405611755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20"/>
      <c r="P54" s="28"/>
      <c r="Q54" s="68"/>
      <c r="R54" s="68"/>
      <c r="S54" s="68"/>
      <c r="T54" s="20"/>
      <c r="U54" s="28"/>
      <c r="V54" s="68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20"/>
      <c r="P55" s="28"/>
      <c r="Q55" s="68"/>
      <c r="R55" s="68"/>
      <c r="S55" s="68"/>
      <c r="T55" s="20"/>
      <c r="U55" s="28"/>
      <c r="V55" s="68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5865</v>
      </c>
      <c r="I56" s="19">
        <v>362770</v>
      </c>
      <c r="J56" s="8">
        <f>IF(I56=0,"%",H56/I56)</f>
        <v>1.6167268517242331E-2</v>
      </c>
      <c r="K56" s="29"/>
      <c r="L56" s="67">
        <v>0</v>
      </c>
      <c r="M56" s="67">
        <v>0</v>
      </c>
      <c r="N56" s="67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5865</v>
      </c>
      <c r="X56" s="59">
        <f t="shared" si="18"/>
        <v>362770</v>
      </c>
      <c r="Y56" s="8">
        <f>IF(X56=0,"%",W56/X56)</f>
        <v>1.6167268517242331E-2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37699.39</v>
      </c>
      <c r="H57" s="19">
        <v>72793.440000000002</v>
      </c>
      <c r="I57" s="19">
        <v>466235</v>
      </c>
      <c r="J57" s="8">
        <f>IF(I57=0,"%",H57/I57)</f>
        <v>0.15613036344332795</v>
      </c>
      <c r="K57" s="29"/>
      <c r="L57" s="66">
        <v>0</v>
      </c>
      <c r="M57" s="66">
        <v>0</v>
      </c>
      <c r="N57" s="66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37699.39</v>
      </c>
      <c r="W57" s="66">
        <f t="shared" si="18"/>
        <v>72793.440000000002</v>
      </c>
      <c r="X57" s="59">
        <f t="shared" si="18"/>
        <v>466235</v>
      </c>
      <c r="Y57" s="8">
        <f>IF(X57=0,"%",W57/X57)</f>
        <v>0.15613036344332795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-37699.39</v>
      </c>
      <c r="H58" s="57">
        <f>SUM(H56-H57)</f>
        <v>-66928.44</v>
      </c>
      <c r="I58" s="57">
        <f>SUM(I56-I57)</f>
        <v>-103465</v>
      </c>
      <c r="J58" s="31">
        <f>IF(I58=0,"",H58/I58)</f>
        <v>0.64687034262794185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9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9" t="str">
        <f>IF(S58=0,"",R58/S58)</f>
        <v/>
      </c>
      <c r="U58" s="28"/>
      <c r="V58" s="71">
        <f>SUM(V56:V57)</f>
        <v>37699.39</v>
      </c>
      <c r="W58" s="57">
        <f>W56-W57</f>
        <v>-66928.44</v>
      </c>
      <c r="X58" s="57">
        <f>SUM(X56:X57)</f>
        <v>829005</v>
      </c>
      <c r="Y58" s="31">
        <f>IF(X58=0,"",W58/X58)</f>
        <v>-8.0733457578663584E-2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-5821.0400000000809</v>
      </c>
      <c r="H60" s="59">
        <f>H53+H58</f>
        <v>212837.50999999995</v>
      </c>
      <c r="I60" s="59"/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1098.33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213935.83999999991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9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9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-5821.0400000000809</v>
      </c>
      <c r="H65" s="65">
        <f>H63+H60</f>
        <v>212837.50999999995</v>
      </c>
      <c r="I65" s="65">
        <f>I63+I60</f>
        <v>0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4" t="str">
        <f>IF(N65=0,"%",M65/N65)</f>
        <v>%</v>
      </c>
      <c r="P65" s="145"/>
      <c r="Q65" s="146">
        <f>Q63+Q60</f>
        <v>0</v>
      </c>
      <c r="R65" s="146">
        <f>R63+R60</f>
        <v>1098.33</v>
      </c>
      <c r="S65" s="146">
        <f>S63+S60</f>
        <v>0</v>
      </c>
      <c r="T65" s="144" t="str">
        <f>IF(S65=0,"%",R65/S65)</f>
        <v>%</v>
      </c>
      <c r="U65" s="145"/>
      <c r="V65" s="146">
        <f>V63+V60</f>
        <v>0</v>
      </c>
      <c r="W65" s="65">
        <f>W63+W60</f>
        <v>213935.83999999991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>
    <pageSetUpPr fitToPage="1"/>
  </sheetPr>
  <dimension ref="A1:Z68"/>
  <sheetViews>
    <sheetView topLeftCell="D1" zoomScale="80" zoomScaleNormal="80" zoomScaleSheetLayoutView="80" zoomScalePageLayoutView="40" workbookViewId="0">
      <selection activeCell="O5" sqref="O1:V104857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6.7109375" style="142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9" t="s">
        <v>53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6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6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6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3" t="s">
        <v>9</v>
      </c>
      <c r="W11" s="154"/>
      <c r="X11" s="154"/>
      <c r="Y11" s="156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15236.46</v>
      </c>
      <c r="M17" s="23">
        <v>15236.46</v>
      </c>
      <c r="N17" s="19">
        <v>190552.35</v>
      </c>
      <c r="O17" s="20">
        <f>IF(N17=0,"%",M17/N17)</f>
        <v>7.9959444215723388E-2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15236.46</v>
      </c>
      <c r="W17" s="23">
        <f t="shared" si="1"/>
        <v>15236.46</v>
      </c>
      <c r="X17" s="23">
        <f t="shared" si="1"/>
        <v>190552.35</v>
      </c>
      <c r="Y17" s="8">
        <f>IF(X17=0,"%",W17/X17)</f>
        <v>7.9959444215723388E-2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281072.21000000002</v>
      </c>
      <c r="H19" s="23">
        <v>560824.49</v>
      </c>
      <c r="I19" s="19">
        <v>3238858</v>
      </c>
      <c r="J19" s="20">
        <f t="shared" si="2"/>
        <v>0.17315501019186391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281072.21000000002</v>
      </c>
      <c r="W19" s="23">
        <f t="shared" si="5"/>
        <v>560824.49</v>
      </c>
      <c r="X19" s="23">
        <f t="shared" si="5"/>
        <v>3238858</v>
      </c>
      <c r="Y19" s="8">
        <f t="shared" ref="Y19:Y24" si="6">IF(X19=0,"%",W19/X19)</f>
        <v>0.17315501019186391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4733.7700000000004</v>
      </c>
      <c r="H21" s="23">
        <v>9391.0499999999993</v>
      </c>
      <c r="I21" s="19">
        <v>51995</v>
      </c>
      <c r="J21" s="20">
        <f t="shared" si="2"/>
        <v>0.1806144821617463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4733.7700000000004</v>
      </c>
      <c r="W21" s="23">
        <f t="shared" si="5"/>
        <v>9391.0499999999993</v>
      </c>
      <c r="X21" s="23">
        <f t="shared" si="5"/>
        <v>51995</v>
      </c>
      <c r="Y21" s="8">
        <f>IF(X21=0,"%",W21/X21)</f>
        <v>0.1806144821617463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43737.94</v>
      </c>
      <c r="H22" s="23">
        <v>87099.58</v>
      </c>
      <c r="I22" s="19">
        <v>478172</v>
      </c>
      <c r="J22" s="20">
        <f t="shared" si="2"/>
        <v>0.18215115063199017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43737.94</v>
      </c>
      <c r="W22" s="23">
        <f t="shared" si="5"/>
        <v>87099.58</v>
      </c>
      <c r="X22" s="23">
        <f t="shared" si="5"/>
        <v>478172</v>
      </c>
      <c r="Y22" s="8">
        <f t="shared" si="6"/>
        <v>0.18215115063199017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0</v>
      </c>
      <c r="I24" s="19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0</v>
      </c>
      <c r="Y24" s="8" t="str">
        <f t="shared" si="6"/>
        <v>%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18102.79</v>
      </c>
      <c r="H27" s="23">
        <v>36481.879999999997</v>
      </c>
      <c r="I27" s="19">
        <v>208739</v>
      </c>
      <c r="J27" s="20">
        <f t="shared" si="2"/>
        <v>0.17477270658573624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18102.79</v>
      </c>
      <c r="W27" s="23">
        <f t="shared" si="9"/>
        <v>36481.879999999997</v>
      </c>
      <c r="X27" s="23">
        <f t="shared" si="9"/>
        <v>208739</v>
      </c>
      <c r="Y27" s="8">
        <f t="shared" si="10"/>
        <v>0.17477270658573624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0</v>
      </c>
      <c r="H29" s="23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0</v>
      </c>
      <c r="Y29" s="8" t="str">
        <f t="shared" si="10"/>
        <v>%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2999.49</v>
      </c>
      <c r="H30" s="23">
        <v>2999.49</v>
      </c>
      <c r="I30" s="19">
        <v>12500</v>
      </c>
      <c r="J30" s="20">
        <f t="shared" si="2"/>
        <v>0.23995919999999998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2999.49</v>
      </c>
      <c r="W30" s="23">
        <f t="shared" si="9"/>
        <v>2999.49</v>
      </c>
      <c r="X30" s="23">
        <f t="shared" si="9"/>
        <v>12500</v>
      </c>
      <c r="Y30" s="8">
        <f t="shared" si="10"/>
        <v>0.23995919999999998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17430.36</v>
      </c>
      <c r="R31" s="19">
        <v>17430.36</v>
      </c>
      <c r="S31" s="19">
        <v>0</v>
      </c>
      <c r="T31" s="20" t="str">
        <f t="shared" si="8"/>
        <v>%</v>
      </c>
      <c r="U31" s="28"/>
      <c r="V31" s="19">
        <f t="shared" si="9"/>
        <v>17430.36</v>
      </c>
      <c r="W31" s="23">
        <f t="shared" si="9"/>
        <v>17430.36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350646.2</v>
      </c>
      <c r="H32" s="71">
        <f>SUM(H16:H31)</f>
        <v>696796.49</v>
      </c>
      <c r="I32" s="57">
        <f>SUM(I16:I31)</f>
        <v>3990264</v>
      </c>
      <c r="J32" s="31">
        <f>IF(I32=0,"",H32/I32)</f>
        <v>0.17462415769984141</v>
      </c>
      <c r="K32" s="29"/>
      <c r="L32" s="57">
        <f>SUM(L16:L31)</f>
        <v>15236.46</v>
      </c>
      <c r="M32" s="57">
        <f>SUM(M16:M31)</f>
        <v>15236.46</v>
      </c>
      <c r="N32" s="57">
        <f>SUM(N16:N31)</f>
        <v>190552.35</v>
      </c>
      <c r="O32" s="139">
        <f>IF(N32=0,"",M32/N32)</f>
        <v>7.9959444215723388E-2</v>
      </c>
      <c r="P32" s="28"/>
      <c r="Q32" s="71">
        <f>SUM(Q16:Q31)</f>
        <v>17430.36</v>
      </c>
      <c r="R32" s="71">
        <f>SUM(R16:R31)</f>
        <v>17430.36</v>
      </c>
      <c r="S32" s="71">
        <f>SUM(S16:S31)</f>
        <v>0</v>
      </c>
      <c r="T32" s="139" t="str">
        <f>IF(S32=0,"",R32/S32)</f>
        <v/>
      </c>
      <c r="U32" s="28"/>
      <c r="V32" s="71">
        <f>SUM(V16:V31)</f>
        <v>383313.02</v>
      </c>
      <c r="W32" s="57">
        <f>SUM(W16:W31)</f>
        <v>729463.30999999994</v>
      </c>
      <c r="X32" s="57">
        <f>SUM(X16:X31)</f>
        <v>4180816.35</v>
      </c>
      <c r="Y32" s="31">
        <f>IF(X32=0,"",W32/X32)</f>
        <v>0.17447867806965497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239715.53999999998</v>
      </c>
      <c r="H36" s="23">
        <v>249688.96000000002</v>
      </c>
      <c r="I36" s="19">
        <f>2976172.8+100</f>
        <v>2976272.8</v>
      </c>
      <c r="J36" s="8">
        <f t="shared" ref="J36:J51" si="11">IF(I36=0,"%",H36/I36)</f>
        <v>8.3893170007803067E-2</v>
      </c>
      <c r="K36" s="29"/>
      <c r="L36" s="23">
        <v>6162.7</v>
      </c>
      <c r="M36" s="23">
        <v>6162.7</v>
      </c>
      <c r="N36" s="19">
        <v>76958.820000000007</v>
      </c>
      <c r="O36" s="20">
        <f t="shared" ref="O36:O51" si="12">IF(N36=0,"%",M36/N36)</f>
        <v>8.0077891007164601E-2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245878.24</v>
      </c>
      <c r="W36" s="23">
        <f t="shared" ref="W36:W51" si="15">H36+M36+R36</f>
        <v>255851.66000000003</v>
      </c>
      <c r="X36" s="23">
        <f t="shared" ref="X36:X51" si="16">I36+N36+S36</f>
        <v>3053231.6199999996</v>
      </c>
      <c r="Y36" s="8">
        <f t="shared" ref="Y36:Y51" si="17">IF(X36=0,"%",W36/X36)</f>
        <v>8.3797003255193611E-2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20237.62</v>
      </c>
      <c r="H37" s="23">
        <v>20530.5</v>
      </c>
      <c r="I37" s="19">
        <v>213223.19</v>
      </c>
      <c r="J37" s="8">
        <f t="shared" si="11"/>
        <v>9.6286431133499134E-2</v>
      </c>
      <c r="K37" s="29"/>
      <c r="L37" s="23">
        <v>9073.76</v>
      </c>
      <c r="M37" s="23">
        <v>9073.76</v>
      </c>
      <c r="N37" s="23">
        <v>113593.53000000001</v>
      </c>
      <c r="O37" s="20">
        <f t="shared" si="12"/>
        <v>7.9879197345130479E-2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29311.379999999997</v>
      </c>
      <c r="W37" s="23">
        <f t="shared" si="15"/>
        <v>29604.260000000002</v>
      </c>
      <c r="X37" s="23">
        <f t="shared" si="16"/>
        <v>326816.72000000003</v>
      </c>
      <c r="Y37" s="8">
        <f t="shared" si="17"/>
        <v>9.0583676379837608E-2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0</v>
      </c>
      <c r="H38" s="23">
        <v>0</v>
      </c>
      <c r="I38" s="19">
        <v>18000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18000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36560.35</v>
      </c>
      <c r="H40" s="23">
        <v>70318.459999999992</v>
      </c>
      <c r="I40" s="19">
        <v>422021.50000000006</v>
      </c>
      <c r="J40" s="8">
        <f t="shared" si="11"/>
        <v>0.16662293271788281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36560.35</v>
      </c>
      <c r="W40" s="23">
        <f t="shared" si="15"/>
        <v>70318.459999999992</v>
      </c>
      <c r="X40" s="23">
        <f t="shared" si="16"/>
        <v>422021.50000000006</v>
      </c>
      <c r="Y40" s="8">
        <f t="shared" si="17"/>
        <v>0.16662293271788281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1737.42</v>
      </c>
      <c r="H42" s="23">
        <v>3469.39</v>
      </c>
      <c r="I42" s="19">
        <v>18369</v>
      </c>
      <c r="J42" s="8">
        <f t="shared" si="11"/>
        <v>0.18887201262997441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1737.42</v>
      </c>
      <c r="W42" s="23">
        <f t="shared" si="15"/>
        <v>3469.39</v>
      </c>
      <c r="X42" s="23">
        <f t="shared" si="16"/>
        <v>18369</v>
      </c>
      <c r="Y42" s="8">
        <f t="shared" si="17"/>
        <v>0.18887201262997441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25963.41</v>
      </c>
      <c r="H46" s="23">
        <v>81778.339999999967</v>
      </c>
      <c r="I46" s="19">
        <v>339275.4</v>
      </c>
      <c r="J46" s="8">
        <f t="shared" si="11"/>
        <v>0.24103822440412703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25963.41</v>
      </c>
      <c r="W46" s="23">
        <f t="shared" si="15"/>
        <v>81778.339999999967</v>
      </c>
      <c r="X46" s="23">
        <f t="shared" si="16"/>
        <v>339275.4</v>
      </c>
      <c r="Y46" s="8">
        <f t="shared" si="17"/>
        <v>0.24103822440412703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3750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3750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10648.18</v>
      </c>
      <c r="R51" s="19">
        <v>11514.89</v>
      </c>
      <c r="S51" s="19">
        <v>0</v>
      </c>
      <c r="T51" s="20" t="str">
        <f t="shared" si="13"/>
        <v>%</v>
      </c>
      <c r="U51" s="28"/>
      <c r="V51" s="19">
        <f t="shared" si="14"/>
        <v>10648.18</v>
      </c>
      <c r="W51" s="23">
        <f t="shared" si="15"/>
        <v>11514.89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324214.33999999991</v>
      </c>
      <c r="H52" s="57">
        <f>SUM(H36:H51)</f>
        <v>429535.65</v>
      </c>
      <c r="I52" s="57">
        <f>SUM(I36:I51)</f>
        <v>3987161.8899999997</v>
      </c>
      <c r="J52" s="31">
        <f>IF(I52=0,"",H52/I52)</f>
        <v>0.10772967385079016</v>
      </c>
      <c r="K52" s="29"/>
      <c r="L52" s="57">
        <f>SUM(L36:L50)</f>
        <v>15236.46</v>
      </c>
      <c r="M52" s="57">
        <f>SUM(M36:M50)</f>
        <v>15236.46</v>
      </c>
      <c r="N52" s="57">
        <f>SUM(N36:N50)</f>
        <v>190552.35000000003</v>
      </c>
      <c r="O52" s="139">
        <f>IF(N52=0,"",M52/N52)</f>
        <v>7.9959444215723374E-2</v>
      </c>
      <c r="P52" s="28"/>
      <c r="Q52" s="71">
        <f>SUM(Q36:Q51)</f>
        <v>10648.18</v>
      </c>
      <c r="R52" s="71">
        <f>SUM(R36:R51)</f>
        <v>11514.89</v>
      </c>
      <c r="S52" s="71">
        <f>SUM(S36:S51)</f>
        <v>0</v>
      </c>
      <c r="T52" s="139" t="str">
        <f>IF(S52=0,"",R52/S52)</f>
        <v/>
      </c>
      <c r="U52" s="28"/>
      <c r="V52" s="71">
        <f>SUM(V36:V51)</f>
        <v>350098.97999999992</v>
      </c>
      <c r="W52" s="57">
        <f>SUM(W36:W51)</f>
        <v>456287</v>
      </c>
      <c r="X52" s="57">
        <f>SUM(X36:X51)</f>
        <v>4177714.2399999998</v>
      </c>
      <c r="Y52" s="31">
        <f>IF(X52=0,"",W52/X52)</f>
        <v>0.10921929404151876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26431.860000000102</v>
      </c>
      <c r="H53" s="58">
        <f>H32-H52</f>
        <v>267260.83999999997</v>
      </c>
      <c r="I53" s="58">
        <f>I32-I52</f>
        <v>3102.1100000003353</v>
      </c>
      <c r="J53" s="31">
        <f>IF(I53=0,"",H53/I53)</f>
        <v>86.154533527170571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39" t="str">
        <f>IF(N53=0,"",M53/N53)</f>
        <v/>
      </c>
      <c r="P53" s="28"/>
      <c r="Q53" s="136">
        <f>Q32-Q52</f>
        <v>6782.18</v>
      </c>
      <c r="R53" s="136">
        <f>R32-R52</f>
        <v>5915.4700000000012</v>
      </c>
      <c r="S53" s="136">
        <f>S32-S52</f>
        <v>0</v>
      </c>
      <c r="T53" s="139" t="str">
        <f>IF(S53=0,"",R53/S53)</f>
        <v/>
      </c>
      <c r="U53" s="28"/>
      <c r="V53" s="136">
        <f>V32-V52</f>
        <v>33214.040000000095</v>
      </c>
      <c r="W53" s="58">
        <f>W32-W52</f>
        <v>273176.30999999994</v>
      </c>
      <c r="X53" s="58">
        <f>X32-X52</f>
        <v>3102.1100000003353</v>
      </c>
      <c r="Y53" s="31">
        <f>IF(X53=0,"",W53/X53)</f>
        <v>88.061451721560616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0</v>
      </c>
      <c r="H56" s="23">
        <v>0</v>
      </c>
      <c r="I56" s="19">
        <v>381635.22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0</v>
      </c>
      <c r="X56" s="59">
        <f t="shared" si="18"/>
        <v>381635.22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45537.86</v>
      </c>
      <c r="H57" s="23">
        <v>72968.45</v>
      </c>
      <c r="I57" s="19">
        <v>384737.29000000004</v>
      </c>
      <c r="J57" s="8">
        <f>IF(I57=0,"%",H57/I57)</f>
        <v>0.18965785718353423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45537.86</v>
      </c>
      <c r="W57" s="66">
        <f t="shared" si="18"/>
        <v>72968.45</v>
      </c>
      <c r="X57" s="59">
        <f t="shared" si="18"/>
        <v>384737.29000000004</v>
      </c>
      <c r="Y57" s="8">
        <f>IF(X57=0,"%",W57/X57)</f>
        <v>0.18965785718353423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-45537.86</v>
      </c>
      <c r="H58" s="57">
        <f>SUM(H56-H57)</f>
        <v>-72968.45</v>
      </c>
      <c r="I58" s="57">
        <f>SUM(I56-I57)</f>
        <v>-3102.0700000000652</v>
      </c>
      <c r="J58" s="31">
        <f>IF(I58=0,"",H58/I58)</f>
        <v>23.522502715927899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9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9" t="str">
        <f>IF(S58=0,"",R58/S58)</f>
        <v/>
      </c>
      <c r="U58" s="28"/>
      <c r="V58" s="71">
        <f>SUM(V56:V57)</f>
        <v>45537.86</v>
      </c>
      <c r="W58" s="57">
        <f>W56-W57</f>
        <v>-72968.45</v>
      </c>
      <c r="X58" s="57">
        <f>SUM(X56:X57)</f>
        <v>766372.51</v>
      </c>
      <c r="Y58" s="31">
        <f>IF(X58=0,"",W58/X58)</f>
        <v>-9.5212770614645351E-2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-19105.999999999898</v>
      </c>
      <c r="H60" s="68">
        <f>H53+H58</f>
        <v>194292.38999999996</v>
      </c>
      <c r="I60" s="68"/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5915.4700000000012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200207.85999999993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9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9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-19105.999999999898</v>
      </c>
      <c r="H65" s="65">
        <f>H63+H60</f>
        <v>194292.38999999996</v>
      </c>
      <c r="I65" s="65">
        <f>I63+I60</f>
        <v>0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4" t="str">
        <f>IF(N65=0,"%",M65/N65)</f>
        <v>%</v>
      </c>
      <c r="P65" s="145"/>
      <c r="Q65" s="146">
        <f>Q63+Q60</f>
        <v>0</v>
      </c>
      <c r="R65" s="146">
        <f>R63+R60</f>
        <v>5915.4700000000012</v>
      </c>
      <c r="S65" s="146">
        <f>S63+S60</f>
        <v>0</v>
      </c>
      <c r="T65" s="144" t="str">
        <f>IF(S65=0,"%",R65/S65)</f>
        <v>%</v>
      </c>
      <c r="U65" s="145"/>
      <c r="V65" s="146">
        <f>V63+V60</f>
        <v>0</v>
      </c>
      <c r="W65" s="65">
        <f>W63+W60</f>
        <v>200207.85999999993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>
    <pageSetUpPr fitToPage="1"/>
  </sheetPr>
  <dimension ref="A1:AE68"/>
  <sheetViews>
    <sheetView topLeftCell="E1" zoomScale="80" zoomScaleNormal="80" zoomScaleSheetLayoutView="50" zoomScalePageLayoutView="40" workbookViewId="0">
      <selection activeCell="AA42" sqref="AA4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6.7109375" style="142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49" t="s">
        <v>54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1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1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1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0" t="s">
        <v>55</v>
      </c>
      <c r="W11" s="151"/>
      <c r="X11" s="151"/>
      <c r="Y11" s="152"/>
      <c r="Z11" s="9"/>
      <c r="AA11" s="153" t="s">
        <v>9</v>
      </c>
      <c r="AB11" s="154"/>
      <c r="AC11" s="154"/>
      <c r="AD11" s="156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29951.01</v>
      </c>
      <c r="M17" s="19">
        <v>29951.01</v>
      </c>
      <c r="N17" s="19">
        <v>298336.69</v>
      </c>
      <c r="O17" s="20">
        <f>IF(N17=0,"%",M17/N17)</f>
        <v>0.10039331736233983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29951.01</v>
      </c>
      <c r="AB17" s="23">
        <f t="shared" si="1"/>
        <v>29951.01</v>
      </c>
      <c r="AC17" s="23">
        <f t="shared" si="1"/>
        <v>298336.69</v>
      </c>
      <c r="AD17" s="8">
        <f>IF(AC17=0,"%",AB17/AC17)</f>
        <v>0.10039331736233983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358986.35</v>
      </c>
      <c r="H19" s="19">
        <v>718078.89</v>
      </c>
      <c r="I19" s="19">
        <v>4264724</v>
      </c>
      <c r="J19" s="20">
        <f t="shared" si="2"/>
        <v>0.16837640372507107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358986.35</v>
      </c>
      <c r="AB19" s="23">
        <f>H19+M19+R19</f>
        <v>718078.89</v>
      </c>
      <c r="AC19" s="23">
        <f>I19+N19+S19</f>
        <v>4264724</v>
      </c>
      <c r="AD19" s="8">
        <f t="shared" ref="AD19:AD24" si="6">IF(AC19=0,"%",AB19/AC19)</f>
        <v>0.16837640372507107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23">
        <v>0</v>
      </c>
      <c r="X20" s="23">
        <v>397354</v>
      </c>
      <c r="Y20" s="8">
        <f>IF(X20=0,"%",W20/X20)</f>
        <v>0</v>
      </c>
      <c r="Z20" s="26"/>
      <c r="AA20" s="23">
        <f>G20+L20+Q20+V20</f>
        <v>0</v>
      </c>
      <c r="AB20" s="23">
        <f>H20+M20+R20+W20</f>
        <v>0</v>
      </c>
      <c r="AC20" s="23">
        <f>I20+N20+S20+X20</f>
        <v>397354</v>
      </c>
      <c r="AD20" s="8">
        <f>IF(AC20=0,"%",AB20/AC20)</f>
        <v>0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22699.56</v>
      </c>
      <c r="H21" s="19">
        <v>45031.93</v>
      </c>
      <c r="I21" s="19">
        <v>249328</v>
      </c>
      <c r="J21" s="20">
        <f t="shared" si="2"/>
        <v>0.18061320830392094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22699.56</v>
      </c>
      <c r="AB21" s="23">
        <f t="shared" si="7"/>
        <v>45031.93</v>
      </c>
      <c r="AC21" s="23">
        <f t="shared" si="7"/>
        <v>249328</v>
      </c>
      <c r="AD21" s="8">
        <f>IF(AC21=0,"%",AB21/AC21)</f>
        <v>0.18061320830392094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53930.58</v>
      </c>
      <c r="H22" s="19">
        <v>107396.76</v>
      </c>
      <c r="I22" s="19">
        <v>602838</v>
      </c>
      <c r="J22" s="20">
        <f t="shared" si="2"/>
        <v>0.1781519413175679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53930.58</v>
      </c>
      <c r="AB22" s="23">
        <f t="shared" si="7"/>
        <v>107396.76</v>
      </c>
      <c r="AC22" s="23">
        <f t="shared" si="7"/>
        <v>602838</v>
      </c>
      <c r="AD22" s="8">
        <f t="shared" si="6"/>
        <v>0.1781519413175679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/>
      <c r="I24" s="19"/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0</v>
      </c>
      <c r="AC24" s="23">
        <f t="shared" si="7"/>
        <v>0</v>
      </c>
      <c r="AD24" s="8" t="str">
        <f t="shared" si="6"/>
        <v>%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24517.06</v>
      </c>
      <c r="H27" s="19">
        <v>49408.42</v>
      </c>
      <c r="I27" s="19">
        <v>271786</v>
      </c>
      <c r="J27" s="20">
        <f t="shared" si="2"/>
        <v>0.1817916301796266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24517.06</v>
      </c>
      <c r="AB27" s="23">
        <f t="shared" si="11"/>
        <v>49408.42</v>
      </c>
      <c r="AC27" s="23">
        <f t="shared" si="11"/>
        <v>271786</v>
      </c>
      <c r="AD27" s="8">
        <f t="shared" si="12"/>
        <v>0.1817916301796266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/>
      <c r="W29" s="23"/>
      <c r="X29" s="23"/>
      <c r="Y29" s="8" t="str">
        <f t="shared" si="10"/>
        <v>%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/>
      <c r="H30" s="19"/>
      <c r="I30" s="19"/>
      <c r="J30" s="20" t="str">
        <f t="shared" si="2"/>
        <v>%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0</v>
      </c>
      <c r="AD30" s="8" t="str">
        <f t="shared" si="12"/>
        <v>%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34434.660000000003</v>
      </c>
      <c r="R31" s="19">
        <v>46214.25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34434.660000000003</v>
      </c>
      <c r="AB31" s="23">
        <f t="shared" si="11"/>
        <v>46214.25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460133.55</v>
      </c>
      <c r="H32" s="57">
        <f>SUM(H16:H31)</f>
        <v>919916.00000000012</v>
      </c>
      <c r="I32" s="57">
        <f>SUM(I16:I31)</f>
        <v>5388676</v>
      </c>
      <c r="J32" s="31">
        <f>IF(I32=0,"",H32/I32)</f>
        <v>0.17071280589146576</v>
      </c>
      <c r="K32" s="29"/>
      <c r="L32" s="57">
        <f>SUM(L16:L31)</f>
        <v>29951.01</v>
      </c>
      <c r="M32" s="57">
        <f>SUM(M16:M31)</f>
        <v>29951.01</v>
      </c>
      <c r="N32" s="57">
        <f>SUM(N16:N31)</f>
        <v>298336.69</v>
      </c>
      <c r="O32" s="139">
        <f>IF(N32=0,"",M32/N32)</f>
        <v>0.10039331736233983</v>
      </c>
      <c r="P32" s="28"/>
      <c r="Q32" s="71">
        <f>SUM(Q16:Q31)</f>
        <v>34434.660000000003</v>
      </c>
      <c r="R32" s="71">
        <f>SUM(R16:R31)</f>
        <v>46214.25</v>
      </c>
      <c r="S32" s="71">
        <f>SUM(S16:S31)</f>
        <v>0</v>
      </c>
      <c r="T32" s="139" t="str">
        <f>IF(S32=0,"",R32/S32)</f>
        <v/>
      </c>
      <c r="U32" s="28"/>
      <c r="V32" s="71">
        <f>SUM(V16:V31)</f>
        <v>0</v>
      </c>
      <c r="W32" s="57">
        <f>SUM(W16:W31)</f>
        <v>0</v>
      </c>
      <c r="X32" s="57">
        <f>SUM(X16:X31)</f>
        <v>397354</v>
      </c>
      <c r="Y32" s="31">
        <f>IF(X32=0,"",W32/X32)</f>
        <v>0</v>
      </c>
      <c r="Z32" s="29"/>
      <c r="AA32" s="57">
        <f>SUM(AA16:AA31)</f>
        <v>524519.22</v>
      </c>
      <c r="AB32" s="57">
        <f>SUM(AB16:AB31)</f>
        <v>996081.26000000013</v>
      </c>
      <c r="AC32" s="57">
        <f>SUM(AC16:AC31)</f>
        <v>6084366.6900000004</v>
      </c>
      <c r="AD32" s="31">
        <f>IF(AC32=0,"",AB32/AC32)</f>
        <v>0.16371157603586184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262601.07</v>
      </c>
      <c r="H36" s="19">
        <v>269639.41000000009</v>
      </c>
      <c r="I36" s="19">
        <v>3193675.5599999996</v>
      </c>
      <c r="J36" s="8">
        <f t="shared" ref="J36:J51" si="13">IF(I36=0,"%",H36/I36)</f>
        <v>8.4429180401781365E-2</v>
      </c>
      <c r="K36" s="29"/>
      <c r="L36" s="19">
        <v>9641.6700000000019</v>
      </c>
      <c r="M36" s="19">
        <v>9641.6700000000019</v>
      </c>
      <c r="N36" s="19">
        <f>94020.95-5745</f>
        <v>88275.95</v>
      </c>
      <c r="O36" s="20">
        <f t="shared" ref="O36:O51" si="14">IF(N36=0,"%",M36/N36)</f>
        <v>0.10922193417346403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272242.74</v>
      </c>
      <c r="AB36" s="23">
        <f>H36+M36+R36+W36</f>
        <v>279281.08000000007</v>
      </c>
      <c r="AC36" s="23">
        <f>I36+N36+S36+X36</f>
        <v>3281951.51</v>
      </c>
      <c r="AD36" s="8">
        <f t="shared" ref="AD36:AD51" si="17">IF(AC36=0,"%",AB36/AC36)</f>
        <v>8.509604092231092E-2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13621.869999999999</v>
      </c>
      <c r="H37" s="19">
        <v>17106.469999999998</v>
      </c>
      <c r="I37" s="19">
        <v>150390.69999999998</v>
      </c>
      <c r="J37" s="8">
        <f t="shared" si="13"/>
        <v>0.11374686067689026</v>
      </c>
      <c r="K37" s="29"/>
      <c r="L37" s="23">
        <v>20309.339999999997</v>
      </c>
      <c r="M37" s="19">
        <v>20309.339999999997</v>
      </c>
      <c r="N37" s="23">
        <v>210060.78</v>
      </c>
      <c r="O37" s="20">
        <f t="shared" si="14"/>
        <v>9.6683159988266237E-2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33931.209999999992</v>
      </c>
      <c r="AB37" s="23">
        <f t="shared" ref="AB37:AB51" si="19">H37+M37+R37+W37</f>
        <v>37415.81</v>
      </c>
      <c r="AC37" s="23">
        <f t="shared" ref="AC37:AC51" si="20">I37+N37+S37+X37</f>
        <v>360451.48</v>
      </c>
      <c r="AD37" s="8">
        <f t="shared" si="17"/>
        <v>0.10380262552951648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18000</v>
      </c>
      <c r="J38" s="8">
        <f t="shared" si="13"/>
        <v>0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0</v>
      </c>
      <c r="AB38" s="23">
        <f t="shared" si="19"/>
        <v>0</v>
      </c>
      <c r="AC38" s="23">
        <f t="shared" si="20"/>
        <v>18000</v>
      </c>
      <c r="AD38" s="8">
        <f t="shared" si="17"/>
        <v>0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54481.4</v>
      </c>
      <c r="H40" s="19">
        <v>93217.660000000018</v>
      </c>
      <c r="I40" s="19">
        <v>679426.91999999993</v>
      </c>
      <c r="J40" s="8">
        <f t="shared" si="13"/>
        <v>0.13720042179076453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54481.4</v>
      </c>
      <c r="AB40" s="23">
        <f t="shared" si="19"/>
        <v>93217.660000000018</v>
      </c>
      <c r="AC40" s="23">
        <f t="shared" si="20"/>
        <v>679426.91999999993</v>
      </c>
      <c r="AD40" s="8">
        <f t="shared" si="17"/>
        <v>0.13720042179076453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2353.21</v>
      </c>
      <c r="H42" s="19">
        <v>4699.04</v>
      </c>
      <c r="I42" s="19">
        <v>25467</v>
      </c>
      <c r="J42" s="8">
        <f t="shared" si="13"/>
        <v>0.18451486237091139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2353.21</v>
      </c>
      <c r="AB42" s="23">
        <f t="shared" si="19"/>
        <v>4699.04</v>
      </c>
      <c r="AC42" s="23">
        <f t="shared" si="20"/>
        <v>25467</v>
      </c>
      <c r="AD42" s="8">
        <f t="shared" si="17"/>
        <v>0.18451486237091139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1500</v>
      </c>
      <c r="J45" s="8">
        <f t="shared" si="13"/>
        <v>0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1500</v>
      </c>
      <c r="AD45" s="8">
        <f t="shared" si="17"/>
        <v>0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40209.300000000003</v>
      </c>
      <c r="H46" s="19">
        <v>198512.82999999996</v>
      </c>
      <c r="I46" s="19">
        <v>468881.95</v>
      </c>
      <c r="J46" s="8">
        <f t="shared" si="13"/>
        <v>0.42337486013270492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12318</v>
      </c>
      <c r="W46" s="23">
        <v>12318</v>
      </c>
      <c r="X46" s="23">
        <v>75000</v>
      </c>
      <c r="Y46" s="8">
        <f t="shared" si="16"/>
        <v>0.16424</v>
      </c>
      <c r="Z46" s="29"/>
      <c r="AA46" s="23">
        <f>G46+L46+Q46+V46</f>
        <v>52527.3</v>
      </c>
      <c r="AB46" s="23">
        <f t="shared" si="19"/>
        <v>210830.82999999996</v>
      </c>
      <c r="AC46" s="23">
        <f t="shared" si="20"/>
        <v>543881.94999999995</v>
      </c>
      <c r="AD46" s="8">
        <f t="shared" si="17"/>
        <v>0.38764079227119042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3"/>
        <v>%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0</v>
      </c>
      <c r="X47" s="23">
        <v>33354</v>
      </c>
      <c r="Y47" s="8">
        <f>IF(X47=0,"%",W47/X47)</f>
        <v>0</v>
      </c>
      <c r="Z47" s="29"/>
      <c r="AA47" s="23">
        <f t="shared" si="18"/>
        <v>0</v>
      </c>
      <c r="AB47" s="23">
        <f t="shared" si="19"/>
        <v>0</v>
      </c>
      <c r="AC47" s="23">
        <f t="shared" si="20"/>
        <v>33354</v>
      </c>
      <c r="AD47" s="8">
        <f t="shared" si="17"/>
        <v>0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19">
        <v>4882</v>
      </c>
      <c r="J49" s="8">
        <f t="shared" si="13"/>
        <v>0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4882</v>
      </c>
      <c r="AD49" s="8">
        <f t="shared" si="17"/>
        <v>0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48022.16</v>
      </c>
      <c r="X50" s="23">
        <v>289000</v>
      </c>
      <c r="Y50" s="8">
        <f t="shared" si="16"/>
        <v>0.16616664359861594</v>
      </c>
      <c r="Z50" s="29"/>
      <c r="AA50" s="23">
        <f>G50+L50+Q50+V50</f>
        <v>24011.08</v>
      </c>
      <c r="AB50" s="23">
        <f>H50+M50+R50+W50</f>
        <v>48022.16</v>
      </c>
      <c r="AC50" s="23">
        <f t="shared" si="20"/>
        <v>289000</v>
      </c>
      <c r="AD50" s="8">
        <f t="shared" si="17"/>
        <v>0.16616664359861594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16640.12</v>
      </c>
      <c r="R51" s="19">
        <v>17250.07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16640.12</v>
      </c>
      <c r="AB51" s="23">
        <f t="shared" si="19"/>
        <v>17250.07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373266.85000000003</v>
      </c>
      <c r="H52" s="57">
        <f>SUM(H36:H51)</f>
        <v>583175.41</v>
      </c>
      <c r="I52" s="57">
        <f>SUM(I36:I51)</f>
        <v>4542224.13</v>
      </c>
      <c r="J52" s="31">
        <f>IF(I52=0,"",H52/I52)</f>
        <v>0.12838983575211646</v>
      </c>
      <c r="K52" s="29"/>
      <c r="L52" s="57">
        <f>SUM(L36:L50)</f>
        <v>29951.01</v>
      </c>
      <c r="M52" s="57">
        <f>SUM(M36:M50)</f>
        <v>29951.01</v>
      </c>
      <c r="N52" s="57">
        <f>SUM(N36:N50)</f>
        <v>298336.73</v>
      </c>
      <c r="O52" s="139">
        <f>IF(N52=0,"",M52/N52)</f>
        <v>0.10039330390193658</v>
      </c>
      <c r="P52" s="28"/>
      <c r="Q52" s="71">
        <f>SUM(Q36:Q51)</f>
        <v>16640.12</v>
      </c>
      <c r="R52" s="71">
        <f>SUM(R36:R51)</f>
        <v>17250.07</v>
      </c>
      <c r="S52" s="71">
        <f>SUM(S36:S51)</f>
        <v>0</v>
      </c>
      <c r="T52" s="139" t="str">
        <f>IF(S52=0,"",R52/S52)</f>
        <v/>
      </c>
      <c r="U52" s="28"/>
      <c r="V52" s="71">
        <f>SUM(V36:V51)</f>
        <v>36329.08</v>
      </c>
      <c r="W52" s="57">
        <f>SUM(W36:W51)</f>
        <v>60340.160000000003</v>
      </c>
      <c r="X52" s="57">
        <f>SUM(X36:X51)</f>
        <v>397354</v>
      </c>
      <c r="Y52" s="31">
        <f>IF(X52=0,"",W52/X52)</f>
        <v>0.15185492029776976</v>
      </c>
      <c r="Z52" s="29"/>
      <c r="AA52" s="57">
        <f>SUM(AA36:AA51)</f>
        <v>456187.06</v>
      </c>
      <c r="AB52" s="57">
        <f>SUM(AB36:AB51)</f>
        <v>690716.65</v>
      </c>
      <c r="AC52" s="57">
        <f>SUM(AC36:AC51)</f>
        <v>5237914.8600000003</v>
      </c>
      <c r="AD52" s="31">
        <f>IF(AC52=0,"",AB52/AC52)</f>
        <v>0.1318686287313956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86866.699999999953</v>
      </c>
      <c r="H53" s="57">
        <f>H32-H52</f>
        <v>336740.59000000008</v>
      </c>
      <c r="I53" s="71">
        <f>I32-I52</f>
        <v>846451.87000000011</v>
      </c>
      <c r="J53" s="31">
        <f>IF(I53=0,"",H53/I53)</f>
        <v>0.397826033510919</v>
      </c>
      <c r="K53" s="29"/>
      <c r="L53" s="57">
        <f>L32-L52</f>
        <v>0</v>
      </c>
      <c r="M53" s="57">
        <f>M32-M52</f>
        <v>0</v>
      </c>
      <c r="N53" s="57">
        <f>N32-N52</f>
        <v>-3.9999999979045242E-2</v>
      </c>
      <c r="O53" s="139">
        <f>IF(N53=0,"",M53/N53)</f>
        <v>0</v>
      </c>
      <c r="P53" s="28"/>
      <c r="Q53" s="71">
        <f>Q32-Q52</f>
        <v>17794.540000000005</v>
      </c>
      <c r="R53" s="71">
        <f>R32-R52</f>
        <v>28964.18</v>
      </c>
      <c r="S53" s="71">
        <f>S32-S52</f>
        <v>0</v>
      </c>
      <c r="T53" s="139" t="str">
        <f>IF(S53=0,"",R53/S53)</f>
        <v/>
      </c>
      <c r="U53" s="28"/>
      <c r="V53" s="71">
        <f>V32-V52</f>
        <v>-36329.08</v>
      </c>
      <c r="W53" s="57">
        <f>W32-W52</f>
        <v>-60340.160000000003</v>
      </c>
      <c r="X53" s="57">
        <f>X32-X52</f>
        <v>0</v>
      </c>
      <c r="Y53" s="31" t="str">
        <f>IF(X53=0,"",W53/X53)</f>
        <v/>
      </c>
      <c r="Z53" s="29"/>
      <c r="AA53" s="57">
        <f>AA32-AA52</f>
        <v>68332.159999999974</v>
      </c>
      <c r="AB53" s="57">
        <f>AB32-AB52</f>
        <v>305364.6100000001</v>
      </c>
      <c r="AC53" s="57">
        <f>AC32-AC52</f>
        <v>846451.83000000007</v>
      </c>
      <c r="AD53" s="31">
        <f>IF(AC53=0,"",AB53/AC53)</f>
        <v>0.36075840251890068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59">
        <v>91417.2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0</v>
      </c>
      <c r="AB56" s="59">
        <f t="shared" si="21"/>
        <v>0</v>
      </c>
      <c r="AC56" s="59">
        <f t="shared" si="21"/>
        <v>91417.2</v>
      </c>
      <c r="AD56" s="8">
        <f>IF(AC56=0,"%",AB56/AC56)</f>
        <v>0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73117.119999999995</v>
      </c>
      <c r="H57" s="19">
        <v>132236.09</v>
      </c>
      <c r="I57" s="59">
        <v>937869.07</v>
      </c>
      <c r="J57" s="8">
        <f>IF(I57=0,"%",H57/I57)</f>
        <v>0.14099632265301168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73117.119999999995</v>
      </c>
      <c r="AB57" s="59">
        <f t="shared" si="21"/>
        <v>132236.09</v>
      </c>
      <c r="AC57" s="59">
        <f t="shared" si="21"/>
        <v>937869.07</v>
      </c>
      <c r="AD57" s="8">
        <f>IF(AC57=0,"%",AB57/AC57)</f>
        <v>0.14099632265301168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-73117.119999999995</v>
      </c>
      <c r="H58" s="57">
        <f>SUM(H56-H57)</f>
        <v>-132236.09</v>
      </c>
      <c r="I58" s="71">
        <f>SUM(I56-I57)</f>
        <v>-846451.87</v>
      </c>
      <c r="J58" s="31">
        <f>IF(I58=0,"",H58/I58)</f>
        <v>0.15622399180239274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9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9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73117.119999999995</v>
      </c>
      <c r="AB58" s="57">
        <f>AB56-AB57</f>
        <v>-132236.09</v>
      </c>
      <c r="AC58" s="57">
        <f>SUM(AC56:AC57)</f>
        <v>1029286.2699999999</v>
      </c>
      <c r="AD58" s="31">
        <f>IF(AC58=0,"",AB58/AC58)</f>
        <v>-0.12847357810378643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13749.579999999958</v>
      </c>
      <c r="H60" s="59">
        <f>H53+H58</f>
        <v>204504.50000000009</v>
      </c>
      <c r="I60" s="59">
        <f>I53+I58</f>
        <v>0</v>
      </c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28964.18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-60340.160000000003</v>
      </c>
      <c r="X60" s="59">
        <f>X32-X52+X58</f>
        <v>0</v>
      </c>
      <c r="Y60" s="29"/>
      <c r="Z60" s="29"/>
      <c r="AA60" s="59"/>
      <c r="AB60" s="59">
        <f>AB32-AB52+AB58</f>
        <v>173128.52000000011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9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9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13749.579999999958</v>
      </c>
      <c r="H65" s="65">
        <f>H63+H60</f>
        <v>204504.50000000009</v>
      </c>
      <c r="I65" s="65"/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44" t="str">
        <f>IF(N65=0,"%",M65/N65)</f>
        <v>%</v>
      </c>
      <c r="P65" s="145"/>
      <c r="Q65" s="146">
        <f>Q63+Q60</f>
        <v>0</v>
      </c>
      <c r="R65" s="146">
        <f>R63+R60</f>
        <v>28964.18</v>
      </c>
      <c r="S65" s="146">
        <f>S63+S60</f>
        <v>0</v>
      </c>
      <c r="T65" s="144" t="str">
        <f>IF(S65=0,"%",R65/S65)</f>
        <v>%</v>
      </c>
      <c r="U65" s="145"/>
      <c r="V65" s="146">
        <f>V63+V60</f>
        <v>0</v>
      </c>
      <c r="W65" s="65">
        <f>W63+W60</f>
        <v>-60340.160000000003</v>
      </c>
      <c r="X65" s="65">
        <f>X63+X60</f>
        <v>0</v>
      </c>
      <c r="Y65" s="38" t="str">
        <f>IF(X65=0,"%",W65/X65)</f>
        <v>%</v>
      </c>
      <c r="Z65" s="39"/>
      <c r="AA65" s="65">
        <f>AA63+AA60</f>
        <v>0</v>
      </c>
      <c r="AB65" s="65">
        <f>AB63+AB60</f>
        <v>173128.52000000011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>
    <pageSetUpPr fitToPage="1"/>
  </sheetPr>
  <dimension ref="A1:AE68"/>
  <sheetViews>
    <sheetView topLeftCell="N25" zoomScale="90" zoomScaleNormal="90" zoomScaleSheetLayoutView="50" zoomScalePageLayoutView="40" workbookViewId="0">
      <selection activeCell="AC48" sqref="AC48"/>
    </sheetView>
  </sheetViews>
  <sheetFormatPr defaultRowHeight="15" x14ac:dyDescent="0.2"/>
  <cols>
    <col min="1" max="1" width="1" style="4" customWidth="1"/>
    <col min="2" max="2" width="2" style="4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6.28515625" style="142" customWidth="1"/>
    <col min="21" max="21" width="2.42578125" style="142" customWidth="1"/>
    <col min="22" max="22" width="16.7109375" style="142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49" t="s">
        <v>56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1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1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1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0" t="s">
        <v>55</v>
      </c>
      <c r="W11" s="151"/>
      <c r="X11" s="151"/>
      <c r="Y11" s="152"/>
      <c r="Z11" s="9"/>
      <c r="AA11" s="153" t="s">
        <v>9</v>
      </c>
      <c r="AB11" s="154"/>
      <c r="AC11" s="154"/>
      <c r="AD11" s="156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30131.09</v>
      </c>
      <c r="M17" s="19">
        <v>39984.21</v>
      </c>
      <c r="N17" s="19">
        <v>336481.04</v>
      </c>
      <c r="O17" s="20">
        <f>IF(N17=0,"%",M17/N17)</f>
        <v>0.11883049933511856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30131.09</v>
      </c>
      <c r="AB17" s="23">
        <f t="shared" si="1"/>
        <v>39984.21</v>
      </c>
      <c r="AC17" s="23">
        <f t="shared" si="1"/>
        <v>336481.04</v>
      </c>
      <c r="AD17" s="8">
        <f>IF(AC17=0,"%",AB17/AC17)</f>
        <v>0.11883049933511856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431555.65</v>
      </c>
      <c r="H19" s="19">
        <v>863234.1</v>
      </c>
      <c r="I19" s="19">
        <v>4846016</v>
      </c>
      <c r="J19" s="20">
        <f t="shared" si="2"/>
        <v>0.17813273831535018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431555.65</v>
      </c>
      <c r="AB19" s="23">
        <f>H19+M19+R19</f>
        <v>863234.1</v>
      </c>
      <c r="AC19" s="23">
        <f>I19+N19+S19</f>
        <v>4846016</v>
      </c>
      <c r="AD19" s="8">
        <f t="shared" ref="AD19:AD24" si="6">IF(AC19=0,"%",AB19/AC19)</f>
        <v>0.17813273831535018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23">
        <v>0</v>
      </c>
      <c r="X20" s="19">
        <v>450718</v>
      </c>
      <c r="Y20" s="8">
        <f t="shared" si="5"/>
        <v>0</v>
      </c>
      <c r="Z20" s="26"/>
      <c r="AA20" s="23">
        <f>G20+L20+Q20+V20</f>
        <v>0</v>
      </c>
      <c r="AB20" s="23">
        <f>H20+M20+R20+W20</f>
        <v>0</v>
      </c>
      <c r="AC20" s="23">
        <f>I20+N20+S20+X20</f>
        <v>450718</v>
      </c>
      <c r="AD20" s="8">
        <f>IF(AC20=0,"%",AB20/AC20)</f>
        <v>0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21646.28</v>
      </c>
      <c r="H21" s="19">
        <v>42942.47</v>
      </c>
      <c r="I21" s="19">
        <v>237759</v>
      </c>
      <c r="J21" s="20">
        <f t="shared" si="2"/>
        <v>0.18061343629473542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A24" si="7">G21+L21+Q21+V21</f>
        <v>21646.28</v>
      </c>
      <c r="AB21" s="23">
        <f t="shared" ref="AB21:AB24" si="8">H21+M21+R21+W21</f>
        <v>42942.47</v>
      </c>
      <c r="AC21" s="23">
        <f t="shared" ref="AC21:AC24" si="9">I21+N21+S21+X21</f>
        <v>237759</v>
      </c>
      <c r="AD21" s="8">
        <f>IF(AC21=0,"%",AB21/AC21)</f>
        <v>0.18061343629473542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65202.14</v>
      </c>
      <c r="H22" s="19">
        <v>129842.78</v>
      </c>
      <c r="I22" s="19">
        <v>692357</v>
      </c>
      <c r="J22" s="20">
        <f t="shared" si="2"/>
        <v>0.18753732539715781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65202.14</v>
      </c>
      <c r="AB22" s="23">
        <f t="shared" si="8"/>
        <v>129842.78</v>
      </c>
      <c r="AC22" s="23">
        <f t="shared" si="9"/>
        <v>692357</v>
      </c>
      <c r="AD22" s="8">
        <f t="shared" si="6"/>
        <v>0.18753732539715781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8"/>
        <v>0</v>
      </c>
      <c r="AC23" s="23">
        <f t="shared" si="9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250000</v>
      </c>
      <c r="W24" s="23">
        <v>250000</v>
      </c>
      <c r="X24" s="23">
        <v>375000</v>
      </c>
      <c r="Y24" s="8">
        <f t="shared" si="5"/>
        <v>0.66666666666666663</v>
      </c>
      <c r="Z24" s="26"/>
      <c r="AA24" s="23">
        <f t="shared" si="7"/>
        <v>250000</v>
      </c>
      <c r="AB24" s="23">
        <f t="shared" si="8"/>
        <v>250000</v>
      </c>
      <c r="AC24" s="23">
        <f t="shared" si="9"/>
        <v>375000</v>
      </c>
      <c r="AD24" s="8">
        <f t="shared" si="6"/>
        <v>0.66666666666666663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10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11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2">IF(X26=0,"%",W26/X26)</f>
        <v>%</v>
      </c>
      <c r="Z26" s="29"/>
      <c r="AA26" s="23">
        <f t="shared" ref="AA25:AA32" si="13">G26+L26+Q26+V26</f>
        <v>0</v>
      </c>
      <c r="AB26" s="23">
        <f t="shared" ref="AB25:AB32" si="14">H26+M26+R26+W26</f>
        <v>0</v>
      </c>
      <c r="AC26" s="23">
        <f t="shared" ref="AC25:AC32" si="15">I26+N26+S26+X26</f>
        <v>0</v>
      </c>
      <c r="AD26" s="8" t="str">
        <f t="shared" ref="AD26:AD32" si="16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29253.759999999998</v>
      </c>
      <c r="H27" s="19">
        <v>58954.12</v>
      </c>
      <c r="I27" s="19">
        <v>312146</v>
      </c>
      <c r="J27" s="20">
        <f t="shared" si="2"/>
        <v>0.18886713268790886</v>
      </c>
      <c r="K27" s="28"/>
      <c r="L27" s="19">
        <v>0</v>
      </c>
      <c r="M27" s="19">
        <v>0</v>
      </c>
      <c r="N27" s="19">
        <v>0</v>
      </c>
      <c r="O27" s="20" t="str">
        <f t="shared" si="10"/>
        <v>%</v>
      </c>
      <c r="P27" s="28"/>
      <c r="Q27" s="19">
        <v>0</v>
      </c>
      <c r="R27" s="19">
        <v>0</v>
      </c>
      <c r="S27" s="19">
        <v>0</v>
      </c>
      <c r="T27" s="20" t="str">
        <f t="shared" si="11"/>
        <v>%</v>
      </c>
      <c r="U27" s="28"/>
      <c r="V27" s="19">
        <v>0</v>
      </c>
      <c r="W27" s="23">
        <v>0</v>
      </c>
      <c r="X27" s="19">
        <v>0</v>
      </c>
      <c r="Y27" s="8" t="str">
        <f t="shared" si="12"/>
        <v>%</v>
      </c>
      <c r="Z27" s="29"/>
      <c r="AA27" s="23">
        <f t="shared" si="13"/>
        <v>29253.759999999998</v>
      </c>
      <c r="AB27" s="23">
        <f t="shared" si="14"/>
        <v>58954.12</v>
      </c>
      <c r="AC27" s="23">
        <f t="shared" si="15"/>
        <v>312146</v>
      </c>
      <c r="AD27" s="8">
        <f t="shared" si="16"/>
        <v>0.18886713268790886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10"/>
        <v>%</v>
      </c>
      <c r="P28" s="28"/>
      <c r="Q28" s="19">
        <v>0</v>
      </c>
      <c r="R28" s="19">
        <v>0</v>
      </c>
      <c r="S28" s="19">
        <v>0</v>
      </c>
      <c r="T28" s="20" t="str">
        <f t="shared" si="11"/>
        <v>%</v>
      </c>
      <c r="U28" s="28"/>
      <c r="V28" s="19">
        <v>0</v>
      </c>
      <c r="W28" s="23">
        <v>0</v>
      </c>
      <c r="X28" s="19">
        <v>0</v>
      </c>
      <c r="Y28" s="8" t="str">
        <f t="shared" si="12"/>
        <v>%</v>
      </c>
      <c r="Z28" s="29"/>
      <c r="AA28" s="23">
        <f t="shared" si="13"/>
        <v>0</v>
      </c>
      <c r="AB28" s="23">
        <f t="shared" si="14"/>
        <v>0</v>
      </c>
      <c r="AC28" s="23">
        <f t="shared" si="15"/>
        <v>0</v>
      </c>
      <c r="AD28" s="8" t="str">
        <f t="shared" si="16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13930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10"/>
        <v>%</v>
      </c>
      <c r="P29" s="28"/>
      <c r="Q29" s="19">
        <v>0</v>
      </c>
      <c r="R29" s="19">
        <v>0</v>
      </c>
      <c r="S29" s="19">
        <v>0</v>
      </c>
      <c r="T29" s="20" t="str">
        <f t="shared" si="11"/>
        <v>%</v>
      </c>
      <c r="U29" s="28"/>
      <c r="V29" s="19">
        <v>511246.95</v>
      </c>
      <c r="W29" s="23">
        <v>511246.95</v>
      </c>
      <c r="X29" s="19">
        <v>0</v>
      </c>
      <c r="Y29" s="8" t="str">
        <f>IF(X29=0,"%",W29/X29)</f>
        <v>%</v>
      </c>
      <c r="Z29" s="29"/>
      <c r="AA29" s="23">
        <f t="shared" si="13"/>
        <v>511246.95</v>
      </c>
      <c r="AB29" s="23">
        <f t="shared" si="14"/>
        <v>511246.95</v>
      </c>
      <c r="AC29" s="23">
        <f t="shared" si="15"/>
        <v>13930</v>
      </c>
      <c r="AD29" s="8">
        <f t="shared" si="16"/>
        <v>36.70114501076813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4028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10"/>
        <v>%</v>
      </c>
      <c r="P30" s="28"/>
      <c r="Q30" s="19">
        <v>0</v>
      </c>
      <c r="R30" s="19">
        <v>0</v>
      </c>
      <c r="S30" s="19">
        <v>0</v>
      </c>
      <c r="T30" s="20" t="str">
        <f t="shared" si="11"/>
        <v>%</v>
      </c>
      <c r="U30" s="28"/>
      <c r="V30" s="19">
        <v>0</v>
      </c>
      <c r="W30" s="23">
        <v>0</v>
      </c>
      <c r="X30" s="19">
        <v>0</v>
      </c>
      <c r="Y30" s="8" t="str">
        <f t="shared" si="12"/>
        <v>%</v>
      </c>
      <c r="Z30" s="29"/>
      <c r="AA30" s="23">
        <f t="shared" si="13"/>
        <v>0</v>
      </c>
      <c r="AB30" s="23">
        <f t="shared" si="14"/>
        <v>0</v>
      </c>
      <c r="AC30" s="23">
        <f t="shared" si="15"/>
        <v>4028</v>
      </c>
      <c r="AD30" s="8">
        <f t="shared" si="16"/>
        <v>0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10"/>
        <v>%</v>
      </c>
      <c r="P31" s="28"/>
      <c r="Q31" s="19">
        <v>0</v>
      </c>
      <c r="R31" s="19">
        <v>0</v>
      </c>
      <c r="S31" s="19">
        <v>0</v>
      </c>
      <c r="T31" s="20" t="str">
        <f t="shared" si="11"/>
        <v>%</v>
      </c>
      <c r="U31" s="28"/>
      <c r="V31" s="19">
        <v>0</v>
      </c>
      <c r="W31" s="23">
        <v>0</v>
      </c>
      <c r="X31" s="19">
        <v>0</v>
      </c>
      <c r="Y31" s="8" t="str">
        <f>IF(X31=0,"%",W31/X31)</f>
        <v>%</v>
      </c>
      <c r="Z31" s="29"/>
      <c r="AA31" s="23">
        <f t="shared" si="13"/>
        <v>0</v>
      </c>
      <c r="AB31" s="23">
        <f t="shared" si="14"/>
        <v>0</v>
      </c>
      <c r="AC31" s="23">
        <f t="shared" si="15"/>
        <v>0</v>
      </c>
      <c r="AD31" s="8" t="str">
        <f t="shared" si="16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10"/>
        <v>%</v>
      </c>
      <c r="P32" s="28"/>
      <c r="Q32" s="19">
        <v>16881.8</v>
      </c>
      <c r="R32" s="19">
        <v>17879.3</v>
      </c>
      <c r="S32" s="19">
        <v>0</v>
      </c>
      <c r="T32" s="20" t="str">
        <f t="shared" si="11"/>
        <v>%</v>
      </c>
      <c r="U32" s="28"/>
      <c r="V32" s="19">
        <v>0</v>
      </c>
      <c r="W32" s="23">
        <v>0</v>
      </c>
      <c r="X32" s="23">
        <v>0</v>
      </c>
      <c r="Y32" s="8" t="str">
        <f t="shared" si="12"/>
        <v>%</v>
      </c>
      <c r="Z32" s="29"/>
      <c r="AA32" s="23">
        <f t="shared" si="13"/>
        <v>16881.8</v>
      </c>
      <c r="AB32" s="23">
        <f t="shared" si="14"/>
        <v>17879.3</v>
      </c>
      <c r="AC32" s="23">
        <f t="shared" si="15"/>
        <v>0</v>
      </c>
      <c r="AD32" s="8" t="str">
        <f t="shared" si="16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547657.83000000007</v>
      </c>
      <c r="H33" s="30">
        <f>SUM(H16:H32)</f>
        <v>1094973.47</v>
      </c>
      <c r="I33" s="30">
        <f>SUM(I16:I32)</f>
        <v>6106236</v>
      </c>
      <c r="J33" s="31">
        <f>IF(I33=0,"",H33/I33)</f>
        <v>0.17932052904604406</v>
      </c>
      <c r="K33" s="29"/>
      <c r="L33" s="30">
        <f>SUM(L16:L32)</f>
        <v>30131.09</v>
      </c>
      <c r="M33" s="30">
        <f>SUM(M16:M32)</f>
        <v>39984.21</v>
      </c>
      <c r="N33" s="30">
        <f>SUM(N16:N32)</f>
        <v>336481.04</v>
      </c>
      <c r="O33" s="139">
        <f>IF(N33=0,"",M33/N33)</f>
        <v>0.11883049933511856</v>
      </c>
      <c r="P33" s="28"/>
      <c r="Q33" s="148">
        <f>SUM(Q16:Q32)</f>
        <v>16881.8</v>
      </c>
      <c r="R33" s="148">
        <f>SUM(R16:R32)</f>
        <v>17879.3</v>
      </c>
      <c r="S33" s="148">
        <f>SUM(S16:S32)</f>
        <v>0</v>
      </c>
      <c r="T33" s="139" t="str">
        <f>IF(S33=0,"",R33/S33)</f>
        <v/>
      </c>
      <c r="U33" s="28"/>
      <c r="V33" s="148">
        <f>SUM(V16:V32)</f>
        <v>761246.95</v>
      </c>
      <c r="W33" s="30">
        <f>SUM(W16:W32)</f>
        <v>761246.95</v>
      </c>
      <c r="X33" s="30">
        <f>SUM(X16:X32)</f>
        <v>825718</v>
      </c>
      <c r="Y33" s="31">
        <f>IF(X33=0,"",W33/X33)</f>
        <v>0.9219212249218256</v>
      </c>
      <c r="Z33" s="29"/>
      <c r="AA33" s="30">
        <f>SUM(AA16:AA32)</f>
        <v>1355917.6700000002</v>
      </c>
      <c r="AB33" s="30">
        <f>SUM(AB16:AB32)</f>
        <v>1914083.93</v>
      </c>
      <c r="AC33" s="30">
        <f>SUM(AC16:AC32)</f>
        <v>7268435.04</v>
      </c>
      <c r="AD33" s="31">
        <f>IF(AC33=0,"",AB33/AC33)</f>
        <v>0.26334196005967192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292505.06000000006</v>
      </c>
      <c r="H37" s="19">
        <v>314764.62000000005</v>
      </c>
      <c r="I37" s="19">
        <v>3601966.5600000005</v>
      </c>
      <c r="J37" s="8">
        <f t="shared" ref="J37:J52" si="17">IF(I37=0,"%",H37/I37)</f>
        <v>8.7386880126949326E-2</v>
      </c>
      <c r="K37" s="29"/>
      <c r="L37" s="19">
        <v>15535.98</v>
      </c>
      <c r="M37" s="19">
        <v>20072.219999999998</v>
      </c>
      <c r="N37" s="19">
        <f>126871.34-1511</f>
        <v>125360.34</v>
      </c>
      <c r="O37" s="20">
        <f t="shared" ref="O37:O52" si="18">IF(N37=0,"%",M37/N37)</f>
        <v>0.16011618985717491</v>
      </c>
      <c r="P37" s="28"/>
      <c r="Q37" s="19">
        <v>0</v>
      </c>
      <c r="R37" s="19">
        <v>0</v>
      </c>
      <c r="S37" s="19">
        <v>0</v>
      </c>
      <c r="T37" s="20" t="str">
        <f t="shared" ref="T37:T52" si="19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20">IF(X37=0,"%",W37/X37)</f>
        <v>%</v>
      </c>
      <c r="Z37" s="29"/>
      <c r="AA37" s="23">
        <f>G37+L37+Q37+V37</f>
        <v>308041.04000000004</v>
      </c>
      <c r="AB37" s="23">
        <f>H37+M37+R37+W37</f>
        <v>334836.84000000003</v>
      </c>
      <c r="AC37" s="23">
        <f>I37+N37+S37+X37</f>
        <v>3727326.9000000004</v>
      </c>
      <c r="AD37" s="8">
        <f t="shared" ref="AD37:AD52" si="21">IF(AC37=0,"%",AB37/AC37)</f>
        <v>8.9832968500830987E-2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6861</v>
      </c>
      <c r="H38" s="19">
        <v>6861</v>
      </c>
      <c r="I38" s="19">
        <v>79216.110000000015</v>
      </c>
      <c r="J38" s="8">
        <f t="shared" si="17"/>
        <v>8.6611170379358421E-2</v>
      </c>
      <c r="K38" s="29"/>
      <c r="L38" s="23">
        <v>14595.11</v>
      </c>
      <c r="M38" s="23">
        <v>19911.989999999998</v>
      </c>
      <c r="N38" s="23">
        <v>211120.43000000002</v>
      </c>
      <c r="O38" s="20">
        <f t="shared" si="18"/>
        <v>9.4315789334078165E-2</v>
      </c>
      <c r="P38" s="28"/>
      <c r="Q38" s="19">
        <v>0</v>
      </c>
      <c r="R38" s="19">
        <v>0</v>
      </c>
      <c r="S38" s="19">
        <v>0</v>
      </c>
      <c r="T38" s="20" t="str">
        <f t="shared" si="19"/>
        <v>%</v>
      </c>
      <c r="U38" s="28"/>
      <c r="V38" s="19">
        <v>0</v>
      </c>
      <c r="W38" s="23">
        <v>0</v>
      </c>
      <c r="X38" s="23">
        <v>0</v>
      </c>
      <c r="Y38" s="8" t="str">
        <f t="shared" si="20"/>
        <v>%</v>
      </c>
      <c r="Z38" s="29"/>
      <c r="AA38" s="23">
        <f t="shared" ref="AA38:AA52" si="22">G38+L38+Q38+V38</f>
        <v>21456.11</v>
      </c>
      <c r="AB38" s="23">
        <f t="shared" ref="AB38:AB52" si="23">H38+M38+R38+W38</f>
        <v>26772.989999999998</v>
      </c>
      <c r="AC38" s="23">
        <f t="shared" ref="AC38:AC52" si="24">I38+N38+S38+X38</f>
        <v>290336.54000000004</v>
      </c>
      <c r="AD38" s="8">
        <f t="shared" si="21"/>
        <v>9.2213642829800185E-2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0</v>
      </c>
      <c r="H39" s="19">
        <v>0</v>
      </c>
      <c r="I39" s="19">
        <v>18000</v>
      </c>
      <c r="J39" s="8">
        <f t="shared" si="17"/>
        <v>0</v>
      </c>
      <c r="K39" s="29"/>
      <c r="L39" s="23">
        <v>0</v>
      </c>
      <c r="M39" s="23">
        <v>0</v>
      </c>
      <c r="N39" s="23">
        <v>0</v>
      </c>
      <c r="O39" s="20" t="str">
        <f t="shared" si="18"/>
        <v>%</v>
      </c>
      <c r="P39" s="28"/>
      <c r="Q39" s="19">
        <v>0</v>
      </c>
      <c r="R39" s="19">
        <v>0</v>
      </c>
      <c r="S39" s="19">
        <v>0</v>
      </c>
      <c r="T39" s="20" t="str">
        <f t="shared" si="19"/>
        <v>%</v>
      </c>
      <c r="U39" s="28"/>
      <c r="V39" s="19">
        <v>0</v>
      </c>
      <c r="W39" s="23">
        <v>0</v>
      </c>
      <c r="X39" s="23">
        <v>0</v>
      </c>
      <c r="Y39" s="8" t="str">
        <f t="shared" si="20"/>
        <v>%</v>
      </c>
      <c r="Z39" s="29"/>
      <c r="AA39" s="23">
        <f t="shared" si="22"/>
        <v>0</v>
      </c>
      <c r="AB39" s="23">
        <f t="shared" si="23"/>
        <v>0</v>
      </c>
      <c r="AC39" s="23">
        <f t="shared" si="24"/>
        <v>18000</v>
      </c>
      <c r="AD39" s="8">
        <f t="shared" si="21"/>
        <v>0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7"/>
        <v>%</v>
      </c>
      <c r="K40" s="29"/>
      <c r="L40" s="23">
        <v>0</v>
      </c>
      <c r="M40" s="23">
        <v>0</v>
      </c>
      <c r="N40" s="23">
        <v>0</v>
      </c>
      <c r="O40" s="20" t="str">
        <f t="shared" si="18"/>
        <v>%</v>
      </c>
      <c r="P40" s="28"/>
      <c r="Q40" s="19">
        <v>0</v>
      </c>
      <c r="R40" s="19">
        <v>0</v>
      </c>
      <c r="S40" s="19">
        <v>0</v>
      </c>
      <c r="T40" s="20" t="str">
        <f t="shared" si="19"/>
        <v>%</v>
      </c>
      <c r="U40" s="28"/>
      <c r="V40" s="19">
        <v>0</v>
      </c>
      <c r="W40" s="23">
        <v>0</v>
      </c>
      <c r="X40" s="23">
        <v>0</v>
      </c>
      <c r="Y40" s="8" t="str">
        <f t="shared" si="20"/>
        <v>%</v>
      </c>
      <c r="Z40" s="29"/>
      <c r="AA40" s="23">
        <f t="shared" si="22"/>
        <v>0</v>
      </c>
      <c r="AB40" s="23">
        <f t="shared" si="23"/>
        <v>0</v>
      </c>
      <c r="AC40" s="23">
        <f t="shared" si="24"/>
        <v>0</v>
      </c>
      <c r="AD40" s="8" t="str">
        <f t="shared" si="21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57645.100000000006</v>
      </c>
      <c r="H41" s="19">
        <v>102062.43</v>
      </c>
      <c r="I41" s="19">
        <v>705628.09</v>
      </c>
      <c r="J41" s="8">
        <f t="shared" si="17"/>
        <v>0.14464054286727729</v>
      </c>
      <c r="K41" s="29"/>
      <c r="L41" s="23">
        <v>0</v>
      </c>
      <c r="M41" s="23">
        <v>0</v>
      </c>
      <c r="N41" s="23">
        <v>0</v>
      </c>
      <c r="O41" s="20" t="str">
        <f t="shared" si="18"/>
        <v>%</v>
      </c>
      <c r="P41" s="28"/>
      <c r="Q41" s="19">
        <v>0</v>
      </c>
      <c r="R41" s="19">
        <v>0</v>
      </c>
      <c r="S41" s="19">
        <v>0</v>
      </c>
      <c r="T41" s="20" t="str">
        <f t="shared" si="19"/>
        <v>%</v>
      </c>
      <c r="U41" s="28"/>
      <c r="V41" s="19">
        <v>0</v>
      </c>
      <c r="W41" s="23">
        <v>0</v>
      </c>
      <c r="X41" s="23">
        <v>0</v>
      </c>
      <c r="Y41" s="8" t="str">
        <f t="shared" si="20"/>
        <v>%</v>
      </c>
      <c r="Z41" s="29"/>
      <c r="AA41" s="23">
        <f t="shared" si="22"/>
        <v>57645.100000000006</v>
      </c>
      <c r="AB41" s="23">
        <f t="shared" si="23"/>
        <v>102062.43</v>
      </c>
      <c r="AC41" s="23">
        <f t="shared" si="24"/>
        <v>705628.09</v>
      </c>
      <c r="AD41" s="8">
        <f t="shared" si="21"/>
        <v>0.14464054286727729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7"/>
        <v>%</v>
      </c>
      <c r="K42" s="29"/>
      <c r="L42" s="23">
        <v>0</v>
      </c>
      <c r="M42" s="23">
        <v>0</v>
      </c>
      <c r="N42" s="23">
        <v>0</v>
      </c>
      <c r="O42" s="20" t="str">
        <f t="shared" si="18"/>
        <v>%</v>
      </c>
      <c r="P42" s="28"/>
      <c r="Q42" s="19">
        <v>0</v>
      </c>
      <c r="R42" s="19">
        <v>0</v>
      </c>
      <c r="S42" s="19">
        <v>0</v>
      </c>
      <c r="T42" s="20" t="str">
        <f t="shared" si="19"/>
        <v>%</v>
      </c>
      <c r="U42" s="28"/>
      <c r="V42" s="19">
        <v>77048.399999999994</v>
      </c>
      <c r="W42" s="23">
        <v>335014.40000000002</v>
      </c>
      <c r="X42" s="23">
        <v>978815.90000000014</v>
      </c>
      <c r="Y42" s="8">
        <f t="shared" si="20"/>
        <v>0.34226497546678591</v>
      </c>
      <c r="Z42" s="29"/>
      <c r="AA42" s="23">
        <f t="shared" si="22"/>
        <v>77048.399999999994</v>
      </c>
      <c r="AB42" s="23">
        <f t="shared" si="23"/>
        <v>335014.40000000002</v>
      </c>
      <c r="AC42" s="23">
        <f t="shared" si="24"/>
        <v>978815.90000000014</v>
      </c>
      <c r="AD42" s="8">
        <f t="shared" si="21"/>
        <v>0.34226497546678591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2807.73</v>
      </c>
      <c r="H43" s="19">
        <v>5606.65</v>
      </c>
      <c r="I43" s="19">
        <v>29250</v>
      </c>
      <c r="J43" s="8">
        <f t="shared" si="17"/>
        <v>0.19168034188034186</v>
      </c>
      <c r="K43" s="29"/>
      <c r="L43" s="23">
        <v>0</v>
      </c>
      <c r="M43" s="23">
        <v>0</v>
      </c>
      <c r="N43" s="23">
        <v>0</v>
      </c>
      <c r="O43" s="20" t="str">
        <f t="shared" si="18"/>
        <v>%</v>
      </c>
      <c r="P43" s="28"/>
      <c r="Q43" s="19">
        <v>0</v>
      </c>
      <c r="R43" s="19">
        <v>0</v>
      </c>
      <c r="S43" s="19">
        <v>0</v>
      </c>
      <c r="T43" s="20" t="str">
        <f t="shared" si="19"/>
        <v>%</v>
      </c>
      <c r="U43" s="28"/>
      <c r="V43" s="19">
        <v>0</v>
      </c>
      <c r="W43" s="23">
        <v>0</v>
      </c>
      <c r="X43" s="23"/>
      <c r="Y43" s="8" t="str">
        <f t="shared" si="20"/>
        <v>%</v>
      </c>
      <c r="Z43" s="29"/>
      <c r="AA43" s="23">
        <f t="shared" si="22"/>
        <v>2807.73</v>
      </c>
      <c r="AB43" s="23">
        <f t="shared" si="23"/>
        <v>5606.65</v>
      </c>
      <c r="AC43" s="23">
        <f t="shared" si="24"/>
        <v>29250</v>
      </c>
      <c r="AD43" s="8">
        <f t="shared" si="21"/>
        <v>0.19168034188034186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7"/>
        <v>%</v>
      </c>
      <c r="K44" s="29"/>
      <c r="L44" s="23">
        <v>0</v>
      </c>
      <c r="M44" s="23">
        <v>0</v>
      </c>
      <c r="N44" s="23">
        <v>0</v>
      </c>
      <c r="O44" s="20" t="str">
        <f t="shared" si="18"/>
        <v>%</v>
      </c>
      <c r="P44" s="28"/>
      <c r="Q44" s="19">
        <v>0</v>
      </c>
      <c r="R44" s="19">
        <v>0</v>
      </c>
      <c r="S44" s="19">
        <v>0</v>
      </c>
      <c r="T44" s="20" t="str">
        <f t="shared" si="19"/>
        <v>%</v>
      </c>
      <c r="U44" s="28"/>
      <c r="V44" s="19">
        <v>0</v>
      </c>
      <c r="W44" s="23">
        <v>0</v>
      </c>
      <c r="X44" s="23">
        <v>0</v>
      </c>
      <c r="Y44" s="8" t="str">
        <f t="shared" si="20"/>
        <v>%</v>
      </c>
      <c r="Z44" s="29"/>
      <c r="AA44" s="23">
        <f t="shared" si="22"/>
        <v>0</v>
      </c>
      <c r="AB44" s="23">
        <f t="shared" si="23"/>
        <v>0</v>
      </c>
      <c r="AC44" s="23">
        <f t="shared" si="24"/>
        <v>0</v>
      </c>
      <c r="AD44" s="8" t="str">
        <f t="shared" si="21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7"/>
        <v>%</v>
      </c>
      <c r="K45" s="29"/>
      <c r="L45" s="23">
        <v>0</v>
      </c>
      <c r="M45" s="23">
        <v>0</v>
      </c>
      <c r="N45" s="23">
        <v>0</v>
      </c>
      <c r="O45" s="20" t="str">
        <f t="shared" si="18"/>
        <v>%</v>
      </c>
      <c r="P45" s="28"/>
      <c r="Q45" s="19">
        <v>0</v>
      </c>
      <c r="R45" s="19">
        <v>0</v>
      </c>
      <c r="S45" s="19">
        <v>0</v>
      </c>
      <c r="T45" s="20" t="str">
        <f t="shared" si="19"/>
        <v>%</v>
      </c>
      <c r="U45" s="28"/>
      <c r="V45" s="19">
        <v>0</v>
      </c>
      <c r="W45" s="23">
        <v>0</v>
      </c>
      <c r="X45" s="23">
        <v>0</v>
      </c>
      <c r="Y45" s="8" t="str">
        <f t="shared" si="20"/>
        <v>%</v>
      </c>
      <c r="Z45" s="29"/>
      <c r="AA45" s="23">
        <f t="shared" si="22"/>
        <v>0</v>
      </c>
      <c r="AB45" s="23">
        <f t="shared" si="23"/>
        <v>0</v>
      </c>
      <c r="AC45" s="23">
        <f t="shared" si="24"/>
        <v>0</v>
      </c>
      <c r="AD45" s="8" t="str">
        <f t="shared" si="21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0</v>
      </c>
      <c r="H46" s="19">
        <v>0</v>
      </c>
      <c r="I46" s="19">
        <v>7000</v>
      </c>
      <c r="J46" s="8">
        <f t="shared" si="17"/>
        <v>0</v>
      </c>
      <c r="K46" s="29"/>
      <c r="L46" s="23">
        <v>0</v>
      </c>
      <c r="M46" s="23">
        <v>0</v>
      </c>
      <c r="N46" s="23">
        <v>0</v>
      </c>
      <c r="O46" s="20" t="str">
        <f t="shared" si="18"/>
        <v>%</v>
      </c>
      <c r="P46" s="28"/>
      <c r="Q46" s="19">
        <v>0</v>
      </c>
      <c r="R46" s="19">
        <v>0</v>
      </c>
      <c r="S46" s="19">
        <v>0</v>
      </c>
      <c r="T46" s="20" t="str">
        <f t="shared" si="19"/>
        <v>%</v>
      </c>
      <c r="U46" s="28"/>
      <c r="V46" s="19">
        <v>0</v>
      </c>
      <c r="W46" s="23">
        <v>0</v>
      </c>
      <c r="X46" s="23">
        <v>0</v>
      </c>
      <c r="Y46" s="8" t="str">
        <f t="shared" si="20"/>
        <v>%</v>
      </c>
      <c r="Z46" s="29"/>
      <c r="AA46" s="23">
        <f t="shared" si="22"/>
        <v>0</v>
      </c>
      <c r="AB46" s="23">
        <f t="shared" si="23"/>
        <v>0</v>
      </c>
      <c r="AC46" s="23">
        <f t="shared" si="24"/>
        <v>7000</v>
      </c>
      <c r="AD46" s="8">
        <f t="shared" si="21"/>
        <v>0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57640.310000000005</v>
      </c>
      <c r="H47" s="19">
        <v>219336.41999999998</v>
      </c>
      <c r="I47" s="19">
        <v>657112.75</v>
      </c>
      <c r="J47" s="8">
        <f t="shared" si="17"/>
        <v>0.33378810561809974</v>
      </c>
      <c r="K47" s="29"/>
      <c r="L47" s="23">
        <v>0</v>
      </c>
      <c r="M47" s="23">
        <v>0</v>
      </c>
      <c r="N47" s="23">
        <v>0</v>
      </c>
      <c r="O47" s="20" t="str">
        <f t="shared" si="18"/>
        <v>%</v>
      </c>
      <c r="P47" s="28"/>
      <c r="Q47" s="19">
        <v>0</v>
      </c>
      <c r="R47" s="19">
        <v>0</v>
      </c>
      <c r="S47" s="19">
        <v>0</v>
      </c>
      <c r="T47" s="20" t="str">
        <f t="shared" si="19"/>
        <v>%</v>
      </c>
      <c r="U47" s="28"/>
      <c r="V47" s="19">
        <v>0</v>
      </c>
      <c r="W47" s="23">
        <v>0</v>
      </c>
      <c r="X47" s="23">
        <v>265424.05</v>
      </c>
      <c r="Y47" s="8">
        <f t="shared" si="20"/>
        <v>0</v>
      </c>
      <c r="Z47" s="29"/>
      <c r="AA47" s="23">
        <f t="shared" si="22"/>
        <v>57640.310000000005</v>
      </c>
      <c r="AB47" s="23">
        <f t="shared" si="23"/>
        <v>219336.41999999998</v>
      </c>
      <c r="AC47" s="23">
        <f t="shared" si="24"/>
        <v>922536.8</v>
      </c>
      <c r="AD47" s="8">
        <f t="shared" si="21"/>
        <v>0.23775357254041246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7"/>
        <v>%</v>
      </c>
      <c r="K48" s="29"/>
      <c r="L48" s="23">
        <v>0</v>
      </c>
      <c r="M48" s="23">
        <v>0</v>
      </c>
      <c r="N48" s="23">
        <v>0</v>
      </c>
      <c r="O48" s="20" t="str">
        <f t="shared" si="18"/>
        <v>%</v>
      </c>
      <c r="P48" s="28"/>
      <c r="Q48" s="19">
        <v>0</v>
      </c>
      <c r="R48" s="19">
        <v>0</v>
      </c>
      <c r="S48" s="19">
        <v>0</v>
      </c>
      <c r="T48" s="20" t="str">
        <f t="shared" si="19"/>
        <v>%</v>
      </c>
      <c r="U48" s="28"/>
      <c r="V48" s="19">
        <v>0</v>
      </c>
      <c r="W48" s="23">
        <v>0</v>
      </c>
      <c r="X48" s="23">
        <v>0</v>
      </c>
      <c r="Y48" s="8" t="str">
        <f t="shared" si="20"/>
        <v>%</v>
      </c>
      <c r="Z48" s="29"/>
      <c r="AA48" s="23">
        <f t="shared" si="22"/>
        <v>0</v>
      </c>
      <c r="AB48" s="23">
        <f t="shared" si="23"/>
        <v>0</v>
      </c>
      <c r="AC48" s="23">
        <f t="shared" si="24"/>
        <v>0</v>
      </c>
      <c r="AD48" s="8" t="str">
        <f t="shared" si="21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7"/>
        <v>%</v>
      </c>
      <c r="K49" s="29"/>
      <c r="L49" s="23">
        <v>0</v>
      </c>
      <c r="M49" s="23">
        <v>0</v>
      </c>
      <c r="N49" s="23">
        <v>0</v>
      </c>
      <c r="O49" s="20" t="str">
        <f t="shared" si="18"/>
        <v>%</v>
      </c>
      <c r="P49" s="28"/>
      <c r="Q49" s="19">
        <v>0</v>
      </c>
      <c r="R49" s="19">
        <v>0</v>
      </c>
      <c r="S49" s="19">
        <v>0</v>
      </c>
      <c r="T49" s="20" t="str">
        <f t="shared" si="19"/>
        <v>%</v>
      </c>
      <c r="U49" s="28"/>
      <c r="V49" s="19">
        <v>0</v>
      </c>
      <c r="W49" s="23">
        <v>0</v>
      </c>
      <c r="X49" s="23">
        <v>0</v>
      </c>
      <c r="Y49" s="8" t="str">
        <f t="shared" si="20"/>
        <v>%</v>
      </c>
      <c r="Z49" s="29"/>
      <c r="AA49" s="23">
        <f t="shared" si="22"/>
        <v>0</v>
      </c>
      <c r="AB49" s="23">
        <f t="shared" si="23"/>
        <v>0</v>
      </c>
      <c r="AC49" s="23">
        <f t="shared" si="24"/>
        <v>0</v>
      </c>
      <c r="AD49" s="8" t="str">
        <f t="shared" si="21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0</v>
      </c>
      <c r="H50" s="19">
        <v>0</v>
      </c>
      <c r="I50" s="19">
        <v>32762.5</v>
      </c>
      <c r="J50" s="8">
        <f t="shared" si="17"/>
        <v>0</v>
      </c>
      <c r="K50" s="29"/>
      <c r="L50" s="23">
        <v>0</v>
      </c>
      <c r="M50" s="23">
        <v>0</v>
      </c>
      <c r="N50" s="23">
        <v>0</v>
      </c>
      <c r="O50" s="20" t="str">
        <f t="shared" si="18"/>
        <v>%</v>
      </c>
      <c r="P50" s="28"/>
      <c r="Q50" s="19">
        <v>0</v>
      </c>
      <c r="R50" s="19">
        <v>0</v>
      </c>
      <c r="S50" s="19">
        <v>0</v>
      </c>
      <c r="T50" s="20" t="str">
        <f t="shared" si="19"/>
        <v>%</v>
      </c>
      <c r="U50" s="28"/>
      <c r="V50" s="19">
        <v>0</v>
      </c>
      <c r="W50" s="23">
        <v>0</v>
      </c>
      <c r="X50" s="23">
        <v>0</v>
      </c>
      <c r="Y50" s="8" t="str">
        <f t="shared" si="20"/>
        <v>%</v>
      </c>
      <c r="Z50" s="29"/>
      <c r="AA50" s="23">
        <f t="shared" si="22"/>
        <v>0</v>
      </c>
      <c r="AB50" s="23">
        <f t="shared" si="23"/>
        <v>0</v>
      </c>
      <c r="AC50" s="23">
        <f t="shared" si="24"/>
        <v>32762.5</v>
      </c>
      <c r="AD50" s="8">
        <f t="shared" si="21"/>
        <v>0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7"/>
        <v>%</v>
      </c>
      <c r="K51" s="29"/>
      <c r="L51" s="23">
        <v>0</v>
      </c>
      <c r="M51" s="23">
        <v>0</v>
      </c>
      <c r="N51" s="23">
        <v>0</v>
      </c>
      <c r="O51" s="20" t="str">
        <f t="shared" si="18"/>
        <v>%</v>
      </c>
      <c r="P51" s="28"/>
      <c r="Q51" s="19">
        <v>0</v>
      </c>
      <c r="R51" s="19">
        <v>0</v>
      </c>
      <c r="S51" s="19">
        <v>0</v>
      </c>
      <c r="T51" s="20" t="str">
        <f t="shared" si="19"/>
        <v>%</v>
      </c>
      <c r="U51" s="28"/>
      <c r="V51" s="19">
        <v>73666.06</v>
      </c>
      <c r="W51" s="23">
        <v>110499.09</v>
      </c>
      <c r="X51" s="23">
        <v>446996.36</v>
      </c>
      <c r="Y51" s="8">
        <f t="shared" si="20"/>
        <v>0.24720355664641205</v>
      </c>
      <c r="Z51" s="29"/>
      <c r="AA51" s="23">
        <f t="shared" si="22"/>
        <v>73666.06</v>
      </c>
      <c r="AB51" s="23">
        <f t="shared" si="23"/>
        <v>110499.09</v>
      </c>
      <c r="AC51" s="23">
        <f t="shared" si="24"/>
        <v>446996.36</v>
      </c>
      <c r="AD51" s="8">
        <f t="shared" si="21"/>
        <v>0.24720355664641205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7"/>
        <v>%</v>
      </c>
      <c r="K52" s="29"/>
      <c r="L52" s="23">
        <v>0</v>
      </c>
      <c r="M52" s="23">
        <v>0</v>
      </c>
      <c r="N52" s="23">
        <v>0</v>
      </c>
      <c r="O52" s="20" t="str">
        <f t="shared" si="18"/>
        <v>%</v>
      </c>
      <c r="P52" s="28"/>
      <c r="Q52" s="19">
        <v>3652.31</v>
      </c>
      <c r="R52" s="19">
        <v>4136.55</v>
      </c>
      <c r="S52" s="19">
        <v>0</v>
      </c>
      <c r="T52" s="20" t="str">
        <f t="shared" si="19"/>
        <v>%</v>
      </c>
      <c r="U52" s="28"/>
      <c r="V52" s="19">
        <v>0</v>
      </c>
      <c r="W52" s="23">
        <v>0</v>
      </c>
      <c r="X52" s="23">
        <v>0</v>
      </c>
      <c r="Y52" s="8" t="str">
        <f t="shared" si="20"/>
        <v>%</v>
      </c>
      <c r="Z52" s="29"/>
      <c r="AA52" s="23">
        <f t="shared" si="22"/>
        <v>3652.31</v>
      </c>
      <c r="AB52" s="23">
        <f t="shared" si="23"/>
        <v>4136.55</v>
      </c>
      <c r="AC52" s="23">
        <f t="shared" si="24"/>
        <v>0</v>
      </c>
      <c r="AD52" s="8" t="str">
        <f t="shared" si="21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417459.20000000001</v>
      </c>
      <c r="H53" s="57">
        <f>SUM(H37:H52)</f>
        <v>648631.12000000011</v>
      </c>
      <c r="I53" s="57">
        <f>SUM(I37:I52)</f>
        <v>5130936.0100000007</v>
      </c>
      <c r="J53" s="31">
        <f>IF(I53=0,"",H53/I53)</f>
        <v>0.12641574923870469</v>
      </c>
      <c r="K53" s="29"/>
      <c r="L53" s="57">
        <f>SUM(L37:L51)</f>
        <v>30131.09</v>
      </c>
      <c r="M53" s="57">
        <f>SUM(M37:M51)</f>
        <v>39984.209999999992</v>
      </c>
      <c r="N53" s="57">
        <f>SUM(N37:N51)</f>
        <v>336480.77</v>
      </c>
      <c r="O53" s="139">
        <f>IF(N53=0,"",M53/N53)</f>
        <v>0.11883059468747646</v>
      </c>
      <c r="P53" s="28"/>
      <c r="Q53" s="71">
        <f>SUM(Q37:Q52)</f>
        <v>3652.31</v>
      </c>
      <c r="R53" s="71">
        <f>SUM(R37:R52)</f>
        <v>4136.55</v>
      </c>
      <c r="S53" s="71">
        <f>SUM(S37:S52)</f>
        <v>0</v>
      </c>
      <c r="T53" s="139" t="str">
        <f>IF(S53=0,"",R53/S53)</f>
        <v/>
      </c>
      <c r="U53" s="28"/>
      <c r="V53" s="71">
        <f>SUM(V37:V52)</f>
        <v>150714.46</v>
      </c>
      <c r="W53" s="57">
        <f>SUM(W37:W52)</f>
        <v>445513.49</v>
      </c>
      <c r="X53" s="57">
        <f>SUM(X37:X52)</f>
        <v>1691236.31</v>
      </c>
      <c r="Y53" s="31">
        <f>IF(X53=0,"",W53/X53)</f>
        <v>0.26342474281432615</v>
      </c>
      <c r="Z53" s="29"/>
      <c r="AA53" s="57">
        <f>SUM(AA37:AA52)</f>
        <v>601957.06000000006</v>
      </c>
      <c r="AB53" s="57">
        <f>SUM(AB37:AB52)</f>
        <v>1138265.3700000001</v>
      </c>
      <c r="AC53" s="57">
        <f>SUM(AC37:AC52)</f>
        <v>7158653.0900000008</v>
      </c>
      <c r="AD53" s="31">
        <f>IF(AC53=0,"",AB53/AC53)</f>
        <v>0.15900552180549932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130198.63000000006</v>
      </c>
      <c r="H54" s="58">
        <f>H33-H53</f>
        <v>446342.34999999986</v>
      </c>
      <c r="I54" s="58">
        <f>I33-I53</f>
        <v>975299.98999999929</v>
      </c>
      <c r="J54" s="31">
        <f>IF(I54=0,"",H54/I54)</f>
        <v>0.45764621611449025</v>
      </c>
      <c r="K54" s="29"/>
      <c r="L54" s="58">
        <f>L33-L53</f>
        <v>0</v>
      </c>
      <c r="M54" s="58">
        <f>M33-M53</f>
        <v>0</v>
      </c>
      <c r="N54" s="58">
        <f>N33-N53</f>
        <v>0.26999999996041879</v>
      </c>
      <c r="O54" s="139"/>
      <c r="P54" s="28"/>
      <c r="Q54" s="136">
        <f>Q33-Q53</f>
        <v>13229.49</v>
      </c>
      <c r="R54" s="136">
        <f>R33-R53</f>
        <v>13742.75</v>
      </c>
      <c r="S54" s="136">
        <f>S33-S53</f>
        <v>0</v>
      </c>
      <c r="T54" s="139" t="str">
        <f>IF(S54=0,"",R54/S54)</f>
        <v/>
      </c>
      <c r="U54" s="28"/>
      <c r="V54" s="136">
        <f>V33-V53</f>
        <v>610532.49</v>
      </c>
      <c r="W54" s="58">
        <f>W33-W53</f>
        <v>315733.45999999996</v>
      </c>
      <c r="X54" s="136">
        <f>X33-X53</f>
        <v>-865518.31</v>
      </c>
      <c r="Y54" s="31">
        <f>IF(X54=0,"",W54/X54)</f>
        <v>-0.36479119661835918</v>
      </c>
      <c r="Z54" s="29"/>
      <c r="AA54" s="58">
        <f>AA33-AA53</f>
        <v>753960.6100000001</v>
      </c>
      <c r="AB54" s="58">
        <f>AB33-AB53</f>
        <v>775818.55999999982</v>
      </c>
      <c r="AC54" s="58">
        <f>AC33-AC53</f>
        <v>109781.94999999925</v>
      </c>
      <c r="AD54" s="31">
        <f>IF(AC54=0,"",AB54/AC54)</f>
        <v>7.0669045321203088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0</v>
      </c>
      <c r="H57" s="19">
        <v>0</v>
      </c>
      <c r="I57" s="59">
        <v>24732</v>
      </c>
      <c r="J57" s="8">
        <f>IF(I57=0,"%",H57/I57)</f>
        <v>0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68">
        <v>774737</v>
      </c>
      <c r="Y57" s="8">
        <f>IF(X57=0,"%",W57/X57)</f>
        <v>0</v>
      </c>
      <c r="Z57" s="29"/>
      <c r="AA57" s="59">
        <f>G57+L57+Q57+V57</f>
        <v>0</v>
      </c>
      <c r="AB57" s="59">
        <f>H57+M57+R57+W57</f>
        <v>0</v>
      </c>
      <c r="AC57" s="59">
        <f>I57+N57+S57+X57</f>
        <v>799469</v>
      </c>
      <c r="AD57" s="8">
        <f>IF(AC57=0,"%",AB57/AC57)</f>
        <v>0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73709.040000000008</v>
      </c>
      <c r="H58" s="19">
        <v>130515.06999999999</v>
      </c>
      <c r="I58" s="19">
        <v>1000032</v>
      </c>
      <c r="J58" s="8">
        <f>IF(I58=0,"%",H58/I58)</f>
        <v>0.13051089365140314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73709.040000000008</v>
      </c>
      <c r="AB58" s="66">
        <f>H58+M58+R58</f>
        <v>130515.06999999999</v>
      </c>
      <c r="AC58" s="59">
        <f>I58+N58+S58</f>
        <v>1000032</v>
      </c>
      <c r="AD58" s="8">
        <f>IF(AC58=0,"%",AB58/AC58)</f>
        <v>0.13051089365140314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-73709.040000000008</v>
      </c>
      <c r="H59" s="57">
        <f>SUM(H57-H58)</f>
        <v>-130515.06999999999</v>
      </c>
      <c r="I59" s="57">
        <f>SUM(I57-I58)</f>
        <v>-975300</v>
      </c>
      <c r="J59" s="31">
        <f>IF(I59=0,"",H59/I59)</f>
        <v>0.13382043473802932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39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39" t="str">
        <f>IF(S59=0,"",R59/S59)</f>
        <v/>
      </c>
      <c r="U59" s="28"/>
      <c r="V59" s="71">
        <f>SUM(V57:V58)</f>
        <v>0</v>
      </c>
      <c r="W59" s="57">
        <f>SUM(W57:W58)</f>
        <v>0</v>
      </c>
      <c r="X59" s="57">
        <f>SUM(X57:X58)</f>
        <v>774737</v>
      </c>
      <c r="Y59" s="31">
        <f>IF(X59=0,"",W59/X59)</f>
        <v>0</v>
      </c>
      <c r="Z59" s="29"/>
      <c r="AA59" s="57">
        <f>SUM(AA57:AA58)</f>
        <v>73709.040000000008</v>
      </c>
      <c r="AB59" s="57">
        <f>AB57-AB58</f>
        <v>-130515.06999999999</v>
      </c>
      <c r="AC59" s="57">
        <f>SUM(AC57:AC58)</f>
        <v>1799501</v>
      </c>
      <c r="AD59" s="31">
        <f>IF(AC59=0,"",AB59/AC59)</f>
        <v>-7.252847872826966E-2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56489.590000000055</v>
      </c>
      <c r="H61" s="59">
        <f>H54+H59</f>
        <v>315827.27999999985</v>
      </c>
      <c r="I61" s="59"/>
      <c r="J61" s="8"/>
      <c r="K61" s="29"/>
      <c r="L61" s="59"/>
      <c r="M61" s="59">
        <f>M33-M53+M59</f>
        <v>7.2759576141834259E-12</v>
      </c>
      <c r="N61" s="59"/>
      <c r="O61" s="28"/>
      <c r="P61" s="28"/>
      <c r="Q61" s="68"/>
      <c r="R61" s="68">
        <f>R33-R53+R59</f>
        <v>13742.75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315733.45999999996</v>
      </c>
      <c r="X61" s="59">
        <f>X33-X53+X59</f>
        <v>-90781.310000000056</v>
      </c>
      <c r="Y61" s="29"/>
      <c r="Z61" s="29"/>
      <c r="AA61" s="59"/>
      <c r="AB61" s="59">
        <f>AB33-AB53+AB59</f>
        <v>645303.48999999987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39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39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56489.590000000055</v>
      </c>
      <c r="H66" s="65">
        <f>H64+H61</f>
        <v>315827.27999999985</v>
      </c>
      <c r="I66" s="65">
        <f>I64+I61</f>
        <v>0</v>
      </c>
      <c r="J66" s="38"/>
      <c r="K66" s="39"/>
      <c r="L66" s="65">
        <f>L64+L61</f>
        <v>0</v>
      </c>
      <c r="M66" s="65">
        <f>M64+M61</f>
        <v>7.2759576141834259E-12</v>
      </c>
      <c r="N66" s="65">
        <f>N64+N61</f>
        <v>0</v>
      </c>
      <c r="O66" s="144" t="str">
        <f>IF(N66=0,"%",M66/N66)</f>
        <v>%</v>
      </c>
      <c r="P66" s="145"/>
      <c r="Q66" s="146">
        <f>Q64+Q61</f>
        <v>0</v>
      </c>
      <c r="R66" s="146">
        <f>R64+R61</f>
        <v>13742.75</v>
      </c>
      <c r="S66" s="146">
        <f>S64+S61</f>
        <v>0</v>
      </c>
      <c r="T66" s="144" t="str">
        <f>IF(S66=0,"%",R66/S66)</f>
        <v>%</v>
      </c>
      <c r="U66" s="145"/>
      <c r="V66" s="146">
        <f>V64+V61</f>
        <v>0</v>
      </c>
      <c r="W66" s="65">
        <f>W64+W61</f>
        <v>315733.45999999996</v>
      </c>
      <c r="X66" s="65">
        <f>X64+X61</f>
        <v>-90781.310000000056</v>
      </c>
      <c r="Y66" s="38">
        <f>IF(X66=0,"%",W66/X66)</f>
        <v>-3.4779566410751261</v>
      </c>
      <c r="Z66" s="39"/>
      <c r="AA66" s="65">
        <f>AA64+AA61</f>
        <v>0</v>
      </c>
      <c r="AB66" s="65">
        <f>AB64+AB61</f>
        <v>645303.48999999987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>
    <pageSetUpPr fitToPage="1"/>
  </sheetPr>
  <dimension ref="A1:Z69"/>
  <sheetViews>
    <sheetView topLeftCell="C16" zoomScale="80" zoomScaleNormal="80" zoomScaleSheetLayoutView="50" zoomScalePageLayoutView="40" workbookViewId="0">
      <selection activeCell="Q25" sqref="Q2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42" customWidth="1"/>
    <col min="16" max="16" width="2.42578125" style="142" customWidth="1"/>
    <col min="17" max="17" width="16.7109375" style="142" customWidth="1"/>
    <col min="18" max="18" width="17.5703125" style="142" customWidth="1"/>
    <col min="19" max="19" width="16.7109375" style="142" customWidth="1"/>
    <col min="20" max="20" width="13.42578125" style="142" customWidth="1"/>
    <col min="21" max="21" width="2.42578125" style="142" customWidth="1"/>
    <col min="22" max="22" width="17.7109375" style="142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49" t="s">
        <v>59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6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6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6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43"/>
      <c r="P5" s="143"/>
      <c r="Q5" s="143"/>
      <c r="R5" s="143"/>
      <c r="S5" s="143"/>
      <c r="T5" s="143"/>
      <c r="U5" s="143"/>
      <c r="V5" s="14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43"/>
      <c r="P6" s="143"/>
      <c r="Q6" s="143"/>
      <c r="R6" s="143"/>
      <c r="S6" s="143"/>
      <c r="T6" s="143"/>
      <c r="U6" s="143"/>
      <c r="V6" s="14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53" t="s">
        <v>5</v>
      </c>
      <c r="H11" s="154"/>
      <c r="I11" s="154"/>
      <c r="J11" s="155"/>
      <c r="K11" s="9"/>
      <c r="L11" s="153" t="s">
        <v>7</v>
      </c>
      <c r="M11" s="154"/>
      <c r="N11" s="154"/>
      <c r="O11" s="155"/>
      <c r="P11" s="137"/>
      <c r="Q11" s="150" t="s">
        <v>8</v>
      </c>
      <c r="R11" s="151"/>
      <c r="S11" s="151"/>
      <c r="T11" s="152"/>
      <c r="U11" s="137"/>
      <c r="V11" s="153" t="s">
        <v>9</v>
      </c>
      <c r="W11" s="154"/>
      <c r="X11" s="154"/>
      <c r="Y11" s="156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38"/>
      <c r="Q12" s="41" t="s">
        <v>11</v>
      </c>
      <c r="R12" s="41" t="s">
        <v>12</v>
      </c>
      <c r="S12" s="41" t="s">
        <v>13</v>
      </c>
      <c r="T12" s="41" t="s">
        <v>14</v>
      </c>
      <c r="U12" s="138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3985.18</v>
      </c>
      <c r="M16" s="19">
        <v>3985.18</v>
      </c>
      <c r="N16" s="19">
        <v>80000</v>
      </c>
      <c r="O16" s="20">
        <f>IF(N16=0,"%",M16/N16)</f>
        <v>4.9814749999999998E-2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3985.18</v>
      </c>
      <c r="W16" s="23">
        <f t="shared" si="1"/>
        <v>3985.18</v>
      </c>
      <c r="X16" s="23">
        <f t="shared" si="1"/>
        <v>80000</v>
      </c>
      <c r="Y16" s="8">
        <f>IF(X16=0,"%",W16/X16)</f>
        <v>4.9814749999999998E-2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50031.020000000004</v>
      </c>
      <c r="M17" s="19">
        <v>52304.14</v>
      </c>
      <c r="N17" s="19">
        <v>602261.83000000007</v>
      </c>
      <c r="O17" s="20">
        <f>IF(N17=0,"%",M17/N17)</f>
        <v>8.6846181170073478E-2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50031.020000000004</v>
      </c>
      <c r="W17" s="23">
        <f t="shared" si="1"/>
        <v>52304.14</v>
      </c>
      <c r="X17" s="23">
        <f t="shared" si="1"/>
        <v>602261.83000000007</v>
      </c>
      <c r="Y17" s="8">
        <f>IF(X17=0,"%",W17/X17)</f>
        <v>8.6846181170073478E-2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871608.55</v>
      </c>
      <c r="H19" s="19">
        <v>1743496.09</v>
      </c>
      <c r="I19" s="19">
        <v>10338423</v>
      </c>
      <c r="J19" s="20">
        <f t="shared" si="2"/>
        <v>0.16864236354035814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871608.55</v>
      </c>
      <c r="W19" s="23">
        <f t="shared" si="5"/>
        <v>1743496.09</v>
      </c>
      <c r="X19" s="23">
        <f t="shared" si="5"/>
        <v>10338423</v>
      </c>
      <c r="Y19" s="8">
        <f t="shared" ref="Y19:Y24" si="6">IF(X19=0,"%",W19/X19)</f>
        <v>0.16864236354035814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37672.400000000001</v>
      </c>
      <c r="H21" s="19">
        <v>74735.509999999995</v>
      </c>
      <c r="I21" s="19">
        <v>413787</v>
      </c>
      <c r="J21" s="20">
        <f t="shared" si="2"/>
        <v>0.18061347988216159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37672.400000000001</v>
      </c>
      <c r="W21" s="23">
        <f t="shared" si="5"/>
        <v>74735.509999999995</v>
      </c>
      <c r="X21" s="23">
        <f t="shared" si="5"/>
        <v>413787</v>
      </c>
      <c r="Y21" s="8">
        <f t="shared" si="6"/>
        <v>0.18061347988216159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132945.79999999999</v>
      </c>
      <c r="H22" s="19">
        <v>264747.8</v>
      </c>
      <c r="I22" s="19">
        <v>1483517</v>
      </c>
      <c r="J22" s="20">
        <f t="shared" si="2"/>
        <v>0.17845956601778071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132945.79999999999</v>
      </c>
      <c r="W22" s="23">
        <f t="shared" si="5"/>
        <v>264747.8</v>
      </c>
      <c r="X22" s="23">
        <f t="shared" si="5"/>
        <v>1483517</v>
      </c>
      <c r="Y22" s="8">
        <f t="shared" si="6"/>
        <v>0.17845956601778071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0</v>
      </c>
      <c r="I24" s="130">
        <v>275000</v>
      </c>
      <c r="J24" s="20">
        <f t="shared" si="2"/>
        <v>0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0</v>
      </c>
      <c r="X24" s="23">
        <f t="shared" si="5"/>
        <v>275000</v>
      </c>
      <c r="Y24" s="8">
        <f t="shared" si="6"/>
        <v>0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61104.38</v>
      </c>
      <c r="H27" s="19">
        <v>123141.56</v>
      </c>
      <c r="I27" s="19">
        <v>667276</v>
      </c>
      <c r="J27" s="20">
        <f t="shared" si="2"/>
        <v>0.18454366708828129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61104.38</v>
      </c>
      <c r="W27" s="23">
        <f t="shared" si="9"/>
        <v>123141.56</v>
      </c>
      <c r="X27" s="23">
        <f t="shared" si="9"/>
        <v>667276</v>
      </c>
      <c r="Y27" s="8">
        <f t="shared" si="10"/>
        <v>0.18454366708828129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30000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30000</v>
      </c>
      <c r="Y29" s="8">
        <f t="shared" si="10"/>
        <v>0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2125</v>
      </c>
      <c r="H30" s="19">
        <v>2125</v>
      </c>
      <c r="I30" s="19">
        <v>120000</v>
      </c>
      <c r="J30" s="20">
        <f t="shared" si="2"/>
        <v>1.7708333333333333E-2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2125</v>
      </c>
      <c r="W30" s="23">
        <f t="shared" si="9"/>
        <v>2125</v>
      </c>
      <c r="X30" s="23">
        <f t="shared" si="9"/>
        <v>120000</v>
      </c>
      <c r="Y30" s="8">
        <f t="shared" si="10"/>
        <v>1.7708333333333333E-2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95683.87</v>
      </c>
      <c r="R31" s="19">
        <v>112212.46</v>
      </c>
      <c r="S31" s="19">
        <v>0</v>
      </c>
      <c r="T31" s="20" t="str">
        <f t="shared" si="8"/>
        <v>%</v>
      </c>
      <c r="U31" s="28"/>
      <c r="V31" s="19">
        <f t="shared" si="9"/>
        <v>95683.87</v>
      </c>
      <c r="W31" s="23">
        <f t="shared" si="9"/>
        <v>112212.46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1105456.1299999999</v>
      </c>
      <c r="H32" s="57">
        <f>SUM(H16:H31)</f>
        <v>2208245.96</v>
      </c>
      <c r="I32" s="57">
        <f>SUM(I16:I31)</f>
        <v>13328003</v>
      </c>
      <c r="J32" s="31">
        <f>IF(I32=0,"",H32/I32)</f>
        <v>0.16568468359438393</v>
      </c>
      <c r="K32" s="29"/>
      <c r="L32" s="57">
        <f>SUM(L16:L31)</f>
        <v>54016.200000000004</v>
      </c>
      <c r="M32" s="57">
        <f>SUM(M16:M31)</f>
        <v>56289.32</v>
      </c>
      <c r="N32" s="57">
        <f>SUM(N16:N31)</f>
        <v>682261.83000000007</v>
      </c>
      <c r="O32" s="139">
        <f>IF(N32=0,"",M32/N32)</f>
        <v>8.2503985310155764E-2</v>
      </c>
      <c r="P32" s="28"/>
      <c r="Q32" s="71">
        <f>SUM(Q16:Q31)</f>
        <v>95683.87</v>
      </c>
      <c r="R32" s="71">
        <f>SUM(R16:R31)</f>
        <v>112212.46</v>
      </c>
      <c r="S32" s="71">
        <f>SUM(S16:S31)</f>
        <v>0</v>
      </c>
      <c r="T32" s="139" t="str">
        <f>IF(S32=0,"",R32/S32)</f>
        <v/>
      </c>
      <c r="U32" s="28"/>
      <c r="V32" s="71">
        <f>SUM(V16:V31)</f>
        <v>1255156.1999999997</v>
      </c>
      <c r="W32" s="57">
        <f>SUM(W16:W31)</f>
        <v>2376747.7400000002</v>
      </c>
      <c r="X32" s="57">
        <f>SUM(X16:X31)</f>
        <v>14010264.83</v>
      </c>
      <c r="Y32" s="31">
        <f>IF(X32=0,"",W32/X32)</f>
        <v>0.1696433128737653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735076.26999999979</v>
      </c>
      <c r="H36" s="19">
        <v>1131852.5399999993</v>
      </c>
      <c r="I36" s="19">
        <v>7965987.2800000012</v>
      </c>
      <c r="J36" s="8">
        <f t="shared" ref="J36:J51" si="11">IF(I36=0,"%",H36/I36)</f>
        <v>0.14208565746040197</v>
      </c>
      <c r="K36" s="29"/>
      <c r="L36" s="19">
        <v>55523.890000000014</v>
      </c>
      <c r="M36" s="19">
        <v>62895.630000000005</v>
      </c>
      <c r="N36" s="19">
        <f>605440.41+7256</f>
        <v>612696.41</v>
      </c>
      <c r="O36" s="20">
        <f t="shared" ref="O36:O51" si="12">IF(N36=0,"%",M36/N36)</f>
        <v>0.1026538249179557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790600.1599999998</v>
      </c>
      <c r="W36" s="23">
        <f t="shared" ref="W36:W51" si="15">H36+M36+R36</f>
        <v>1194748.1699999995</v>
      </c>
      <c r="X36" s="23">
        <f t="shared" ref="X36:X51" si="16">I36+N36+S36</f>
        <v>8578683.6900000013</v>
      </c>
      <c r="Y36" s="8">
        <f t="shared" ref="Y36:Y51" si="17">IF(X36=0,"%",W36/X36)</f>
        <v>0.13926940462820575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56627.409999999996</v>
      </c>
      <c r="H37" s="19">
        <v>66665.849999999991</v>
      </c>
      <c r="I37" s="19">
        <v>705621.67999999982</v>
      </c>
      <c r="J37" s="8">
        <f t="shared" si="11"/>
        <v>9.4478177031068561E-2</v>
      </c>
      <c r="K37" s="29"/>
      <c r="L37" s="23">
        <v>4546.42</v>
      </c>
      <c r="M37" s="23">
        <v>6819.54</v>
      </c>
      <c r="N37" s="23">
        <v>69565.67</v>
      </c>
      <c r="O37" s="20">
        <f t="shared" si="12"/>
        <v>9.8030249690687951E-2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61173.829999999994</v>
      </c>
      <c r="W37" s="23">
        <f t="shared" si="15"/>
        <v>73485.389999999985</v>
      </c>
      <c r="X37" s="23">
        <f t="shared" si="16"/>
        <v>775187.34999999986</v>
      </c>
      <c r="Y37" s="8">
        <f t="shared" si="17"/>
        <v>9.4796941668359266E-2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0</v>
      </c>
      <c r="I38" s="19">
        <v>25000</v>
      </c>
      <c r="J38" s="8">
        <f t="shared" si="11"/>
        <v>0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0</v>
      </c>
      <c r="X38" s="23">
        <f t="shared" si="16"/>
        <v>25000</v>
      </c>
      <c r="Y38" s="8">
        <f t="shared" si="17"/>
        <v>0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111054.20000000001</v>
      </c>
      <c r="H40" s="19">
        <v>198123.27000000002</v>
      </c>
      <c r="I40" s="19">
        <v>1286338.8699999999</v>
      </c>
      <c r="J40" s="8">
        <f t="shared" si="11"/>
        <v>0.15402105512056868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111054.20000000001</v>
      </c>
      <c r="W40" s="23">
        <f t="shared" si="15"/>
        <v>198123.27000000002</v>
      </c>
      <c r="X40" s="23">
        <f t="shared" si="16"/>
        <v>1286338.8699999999</v>
      </c>
      <c r="Y40" s="8">
        <f t="shared" si="17"/>
        <v>0.15402105512056868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5864.7</v>
      </c>
      <c r="H42" s="19">
        <v>11711</v>
      </c>
      <c r="I42" s="19">
        <v>62790</v>
      </c>
      <c r="J42" s="8">
        <f t="shared" si="11"/>
        <v>0.18651059085841695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5864.7</v>
      </c>
      <c r="W42" s="23">
        <f t="shared" si="15"/>
        <v>11711</v>
      </c>
      <c r="X42" s="23">
        <f t="shared" si="16"/>
        <v>62790</v>
      </c>
      <c r="Y42" s="8">
        <f t="shared" si="17"/>
        <v>0.18651059085841695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5124.75</v>
      </c>
      <c r="H45" s="19">
        <v>5124.75</v>
      </c>
      <c r="I45" s="19">
        <v>91000</v>
      </c>
      <c r="J45" s="8">
        <f t="shared" si="11"/>
        <v>5.6315934065934069E-2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5124.75</v>
      </c>
      <c r="W45" s="23">
        <f t="shared" si="15"/>
        <v>5124.75</v>
      </c>
      <c r="X45" s="23">
        <f t="shared" si="16"/>
        <v>91000</v>
      </c>
      <c r="Y45" s="8">
        <f t="shared" si="17"/>
        <v>5.6315934065934069E-2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76092.570000000007</v>
      </c>
      <c r="H46" s="19">
        <v>237218.19</v>
      </c>
      <c r="I46" s="19">
        <v>1310724.3999999999</v>
      </c>
      <c r="J46" s="8">
        <f t="shared" si="11"/>
        <v>0.18098250860363935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76092.570000000007</v>
      </c>
      <c r="W46" s="23">
        <f t="shared" si="15"/>
        <v>237218.19</v>
      </c>
      <c r="X46" s="23">
        <f t="shared" si="16"/>
        <v>1310724.3999999999</v>
      </c>
      <c r="Y46" s="8">
        <f t="shared" si="17"/>
        <v>0.18098250860363935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38419.340000000004</v>
      </c>
      <c r="H49" s="19">
        <v>57458.189999999995</v>
      </c>
      <c r="I49" s="19">
        <v>687285.22</v>
      </c>
      <c r="J49" s="8">
        <f t="shared" si="11"/>
        <v>8.3601666859648163E-2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38419.340000000004</v>
      </c>
      <c r="W49" s="23">
        <f t="shared" si="15"/>
        <v>57458.189999999995</v>
      </c>
      <c r="X49" s="23">
        <f t="shared" si="16"/>
        <v>687285.22</v>
      </c>
      <c r="Y49" s="8">
        <f t="shared" si="17"/>
        <v>8.3601666859648163E-2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24704.91</v>
      </c>
      <c r="R51" s="19">
        <v>33576.39</v>
      </c>
      <c r="S51" s="19">
        <v>0</v>
      </c>
      <c r="T51" s="20" t="str">
        <f t="shared" si="13"/>
        <v>%</v>
      </c>
      <c r="U51" s="28"/>
      <c r="V51" s="19">
        <f t="shared" si="14"/>
        <v>24704.91</v>
      </c>
      <c r="W51" s="23">
        <f t="shared" si="15"/>
        <v>33576.39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1028259.2399999999</v>
      </c>
      <c r="H52" s="57">
        <f>SUM(H36:H51)</f>
        <v>1708153.7899999993</v>
      </c>
      <c r="I52" s="57">
        <f>SUM(I36:I51)</f>
        <v>12134747.450000001</v>
      </c>
      <c r="J52" s="31">
        <f>IF(I52=0,"",H52/I52)</f>
        <v>0.14076549982092945</v>
      </c>
      <c r="K52" s="29"/>
      <c r="L52" s="57">
        <f>SUM(L36:L50)</f>
        <v>60070.310000000012</v>
      </c>
      <c r="M52" s="57">
        <f>SUM(M36:M50)</f>
        <v>69715.17</v>
      </c>
      <c r="N52" s="57">
        <f>SUM(N36:N50)</f>
        <v>682262.08000000007</v>
      </c>
      <c r="O52" s="139">
        <f>IF(N52=0,"",M52/N52)</f>
        <v>0.10218239008681237</v>
      </c>
      <c r="P52" s="28"/>
      <c r="Q52" s="71">
        <f>SUM(Q36:Q51)</f>
        <v>24704.91</v>
      </c>
      <c r="R52" s="71">
        <f>SUM(R36:R51)</f>
        <v>33576.39</v>
      </c>
      <c r="S52" s="71">
        <f>SUM(S36:S51)</f>
        <v>0</v>
      </c>
      <c r="T52" s="139" t="str">
        <f>IF(S52=0,"",R52/S52)</f>
        <v/>
      </c>
      <c r="U52" s="28"/>
      <c r="V52" s="71">
        <f>SUM(V36:V51)</f>
        <v>1113034.4599999997</v>
      </c>
      <c r="W52" s="57">
        <f>SUM(W36:W51)</f>
        <v>1811445.3499999992</v>
      </c>
      <c r="X52" s="57">
        <f>SUM(X36:X51)</f>
        <v>12817009.530000001</v>
      </c>
      <c r="Y52" s="31">
        <f>IF(X52=0,"",W52/X52)</f>
        <v>0.14133135703457644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77196.890000000014</v>
      </c>
      <c r="H53" s="57">
        <f>H32-H52</f>
        <v>500092.17000000062</v>
      </c>
      <c r="I53" s="57">
        <f>I32-I52</f>
        <v>1193255.5499999989</v>
      </c>
      <c r="J53" s="31">
        <f>IF(I53=0,"",H53/I53)</f>
        <v>0.41909896836432153</v>
      </c>
      <c r="K53" s="29"/>
      <c r="L53" s="57">
        <f>L32-L52</f>
        <v>-6054.1100000000079</v>
      </c>
      <c r="M53" s="57">
        <f>M32-M52</f>
        <v>-13425.849999999999</v>
      </c>
      <c r="N53" s="57">
        <f>N32-N52</f>
        <v>-0.25</v>
      </c>
      <c r="O53" s="139"/>
      <c r="P53" s="28"/>
      <c r="Q53" s="71">
        <f>Q32-Q52</f>
        <v>70978.959999999992</v>
      </c>
      <c r="R53" s="71">
        <f>R32-R52</f>
        <v>78636.070000000007</v>
      </c>
      <c r="S53" s="71">
        <f>S32-S52</f>
        <v>0</v>
      </c>
      <c r="T53" s="139" t="str">
        <f>IF(S53=0,"",R53/S53)</f>
        <v/>
      </c>
      <c r="U53" s="28"/>
      <c r="V53" s="71">
        <f>V32-V52</f>
        <v>142121.74</v>
      </c>
      <c r="W53" s="57">
        <f>W32-W52</f>
        <v>565302.39000000106</v>
      </c>
      <c r="X53" s="57">
        <f>X32-X52</f>
        <v>1193255.2999999989</v>
      </c>
      <c r="Y53" s="31">
        <f>IF(X53=0,"",W53/X53)</f>
        <v>0.47374806548104298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269220</v>
      </c>
      <c r="J56" s="8">
        <f>IF(I56=0,"%",H56/I56)</f>
        <v>0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7">
        <f t="shared" si="18"/>
        <v>0</v>
      </c>
      <c r="X56" s="59">
        <f t="shared" si="18"/>
        <v>269220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166666.09000000003</v>
      </c>
      <c r="H57" s="19">
        <v>283990.67</v>
      </c>
      <c r="I57" s="19">
        <v>1587610</v>
      </c>
      <c r="J57" s="8">
        <f>IF(I57=0,"%",H57/I57)</f>
        <v>0.17887936583921743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166666.09000000003</v>
      </c>
      <c r="W57" s="67">
        <f t="shared" si="18"/>
        <v>283990.67</v>
      </c>
      <c r="X57" s="59">
        <f t="shared" si="18"/>
        <v>1587610</v>
      </c>
      <c r="Y57" s="8">
        <f>IF(X57=0,"%",W57/X57)</f>
        <v>0.17887936583921743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-166666.09000000003</v>
      </c>
      <c r="H58" s="57">
        <f>SUM(H56-H57)</f>
        <v>-283990.67</v>
      </c>
      <c r="I58" s="57">
        <f>SUM(I56-I57)</f>
        <v>-1318390</v>
      </c>
      <c r="J58" s="31">
        <f>IF(I58=0,"",H58/I58)</f>
        <v>0.21540717845250645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39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39" t="str">
        <f>IF(S58=0,"",R58/S58)</f>
        <v/>
      </c>
      <c r="U58" s="28"/>
      <c r="V58" s="71">
        <f>SUM(V56:V57)</f>
        <v>166666.09000000003</v>
      </c>
      <c r="W58" s="57">
        <f>W56-W57</f>
        <v>-283990.67</v>
      </c>
      <c r="X58" s="57">
        <f>SUM(X56:X57)</f>
        <v>1856830</v>
      </c>
      <c r="Y58" s="31">
        <f>IF(X58=0,"",W58/X58)</f>
        <v>-0.15294381822783992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-89469.200000000012</v>
      </c>
      <c r="H60" s="59">
        <f>H53+H58</f>
        <v>216101.50000000064</v>
      </c>
      <c r="I60" s="59">
        <f>I53+I58</f>
        <v>-125134.45000000112</v>
      </c>
      <c r="J60" s="8"/>
      <c r="K60" s="29"/>
      <c r="L60" s="59"/>
      <c r="M60" s="59">
        <f>M32-M52+M58</f>
        <v>-13425.849999999999</v>
      </c>
      <c r="N60" s="59"/>
      <c r="O60" s="28"/>
      <c r="P60" s="28"/>
      <c r="Q60" s="68"/>
      <c r="R60" s="68">
        <f>R32-R52+R58</f>
        <v>78636.070000000007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281311.72000000108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39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39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-89469.200000000012</v>
      </c>
      <c r="H65" s="65">
        <f>H63+H60</f>
        <v>216101.50000000064</v>
      </c>
      <c r="I65" s="65">
        <f>I63+I60</f>
        <v>-125134.45000000112</v>
      </c>
      <c r="J65" s="38"/>
      <c r="K65" s="39"/>
      <c r="L65" s="65">
        <f>L63+L60</f>
        <v>0</v>
      </c>
      <c r="M65" s="65">
        <f>M63+M60</f>
        <v>-13425.849999999999</v>
      </c>
      <c r="N65" s="65">
        <f>N63+N60</f>
        <v>0</v>
      </c>
      <c r="O65" s="144" t="str">
        <f>IF(N65=0,"%",M65/N65)</f>
        <v>%</v>
      </c>
      <c r="P65" s="145"/>
      <c r="Q65" s="146">
        <f>Q63+Q60</f>
        <v>0</v>
      </c>
      <c r="R65" s="146">
        <f>R63+R60</f>
        <v>78636.070000000007</v>
      </c>
      <c r="S65" s="146">
        <f>S63+S60</f>
        <v>0</v>
      </c>
      <c r="T65" s="144" t="str">
        <f>IF(S65=0,"%",R65/S65)</f>
        <v>%</v>
      </c>
      <c r="U65" s="145"/>
      <c r="V65" s="146">
        <f>V63+V60</f>
        <v>0</v>
      </c>
      <c r="W65" s="65">
        <f>W63+W60</f>
        <v>281311.72000000108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dimension ref="A1:AO68"/>
  <sheetViews>
    <sheetView view="pageBreakPreview" topLeftCell="AE1" zoomScale="95" zoomScaleNormal="80" zoomScaleSheetLayoutView="95" zoomScalePageLayoutView="20" workbookViewId="0">
      <selection activeCell="AB15" sqref="AB1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3.7109375" style="4" bestFit="1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4" customWidth="1"/>
    <col min="21" max="21" width="0.42578125" style="4" customWidth="1"/>
    <col min="22" max="22" width="16.7109375" style="4" hidden="1" customWidth="1"/>
    <col min="23" max="23" width="17.140625" style="4" hidden="1" customWidth="1"/>
    <col min="24" max="24" width="16.7109375" style="4" hidden="1" customWidth="1"/>
    <col min="25" max="25" width="11.42578125" style="4" hidden="1" customWidth="1"/>
    <col min="26" max="26" width="4" style="4" customWidth="1"/>
    <col min="27" max="27" width="16.7109375" style="4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3.25" x14ac:dyDescent="0.35">
      <c r="A1" s="3"/>
      <c r="B1" s="3"/>
      <c r="C1" s="149" t="s">
        <v>60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55"/>
      <c r="V1" s="149" t="s">
        <v>60</v>
      </c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55"/>
    </row>
    <row r="2" spans="1:41" ht="23.25" x14ac:dyDescent="0.35">
      <c r="A2" s="3"/>
      <c r="B2" s="3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55"/>
      <c r="V2" s="149" t="s">
        <v>0</v>
      </c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55"/>
    </row>
    <row r="3" spans="1:41" ht="23.25" x14ac:dyDescent="0.35">
      <c r="A3" s="3"/>
      <c r="B3" s="3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55"/>
      <c r="V3" s="149" t="s">
        <v>1</v>
      </c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55"/>
    </row>
    <row r="4" spans="1:41" ht="23.25" x14ac:dyDescent="0.35">
      <c r="A4" s="3"/>
      <c r="B4" s="3"/>
      <c r="C4" s="149" t="str">
        <f>'1351'!C4:Y4</f>
        <v>For Month or Quarter Ended and For the Year Ending 8/31/2025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55"/>
      <c r="V4" s="149" t="str">
        <f>C4</f>
        <v>For Month or Quarter Ended and For the Year Ending 8/31/2025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53" t="s">
        <v>5</v>
      </c>
      <c r="H8" s="154"/>
      <c r="I8" s="154"/>
      <c r="J8" s="155"/>
      <c r="K8" s="9"/>
      <c r="L8" s="153" t="s">
        <v>6</v>
      </c>
      <c r="M8" s="154"/>
      <c r="N8" s="154"/>
      <c r="O8" s="155"/>
      <c r="P8" s="9"/>
      <c r="Q8" s="153" t="s">
        <v>7</v>
      </c>
      <c r="R8" s="154"/>
      <c r="S8" s="154"/>
      <c r="T8" s="155"/>
      <c r="U8" s="9"/>
      <c r="V8" s="153" t="s">
        <v>8</v>
      </c>
      <c r="W8" s="154"/>
      <c r="X8" s="154"/>
      <c r="Y8" s="155"/>
      <c r="Z8" s="9"/>
      <c r="AA8" s="153" t="s">
        <v>61</v>
      </c>
      <c r="AB8" s="154"/>
      <c r="AC8" s="154"/>
      <c r="AD8" s="155"/>
      <c r="AE8" s="9"/>
      <c r="AF8" s="153" t="s">
        <v>62</v>
      </c>
      <c r="AG8" s="154"/>
      <c r="AH8" s="154"/>
      <c r="AI8" s="155"/>
      <c r="AJ8" s="9"/>
      <c r="AK8" s="153" t="s">
        <v>9</v>
      </c>
      <c r="AL8" s="154"/>
      <c r="AM8" s="154"/>
      <c r="AN8" s="156"/>
    </row>
    <row r="9" spans="1:41" s="2" customFormat="1" ht="64.900000000000006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12" t="s">
        <v>14</v>
      </c>
      <c r="U9" s="13"/>
      <c r="V9" s="70" t="s">
        <v>11</v>
      </c>
      <c r="W9" s="70" t="s">
        <v>12</v>
      </c>
      <c r="X9" s="70" t="s">
        <v>13</v>
      </c>
      <c r="Y9" s="70" t="s">
        <v>14</v>
      </c>
      <c r="Z9" s="13"/>
      <c r="AA9" s="12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8" t="str">
        <f>IF(S13=0,"%",R13/S13)</f>
        <v>%</v>
      </c>
      <c r="U13" s="22"/>
      <c r="V13" s="23">
        <v>0</v>
      </c>
      <c r="W13" s="23">
        <v>0</v>
      </c>
      <c r="X13" s="23">
        <v>0</v>
      </c>
      <c r="Y13" s="8" t="str">
        <f>IF(X13=0,"%",W13/X13)</f>
        <v>%</v>
      </c>
      <c r="Z13" s="22"/>
      <c r="AA13" s="23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0</v>
      </c>
      <c r="H14" s="19"/>
      <c r="I14" s="19">
        <v>0</v>
      </c>
      <c r="J14" s="20" t="str">
        <f t="shared" ref="J14:J28" si="2">IF(I14=0,"%",H14/I14)</f>
        <v>%</v>
      </c>
      <c r="K14" s="25"/>
      <c r="L14" s="19">
        <v>55.26</v>
      </c>
      <c r="M14" s="19">
        <v>55.26</v>
      </c>
      <c r="N14" s="19">
        <v>4572000</v>
      </c>
      <c r="O14" s="20">
        <f>IF(N14=0,"%",M14/N14)</f>
        <v>1.2086614173228347E-5</v>
      </c>
      <c r="P14" s="25"/>
      <c r="Q14" s="19">
        <v>68590.7</v>
      </c>
      <c r="R14" s="19">
        <v>151712.25</v>
      </c>
      <c r="S14" s="19">
        <v>1633403.44</v>
      </c>
      <c r="T14" s="8">
        <f>IF(S14=0,"%",R14/S14)</f>
        <v>9.2881064337662966E-2</v>
      </c>
      <c r="U14" s="26"/>
      <c r="V14" s="23">
        <v>0</v>
      </c>
      <c r="W14" s="23">
        <v>0</v>
      </c>
      <c r="X14" s="23">
        <v>0</v>
      </c>
      <c r="Y14" s="8" t="str">
        <f>IF(X14=0,"%",W14/X14)</f>
        <v>%</v>
      </c>
      <c r="Z14" s="26"/>
      <c r="AA14" s="23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68645.959999999992</v>
      </c>
      <c r="AL14" s="23">
        <f t="shared" si="1"/>
        <v>151767.51</v>
      </c>
      <c r="AM14" s="23">
        <f t="shared" si="1"/>
        <v>6205403.4399999995</v>
      </c>
      <c r="AN14" s="8">
        <f>IF(AM14=0,"%",AL14/AM14)</f>
        <v>2.4457315542404125E-2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8"/>
      <c r="U15" s="5"/>
      <c r="V15" s="23"/>
      <c r="W15" s="23"/>
      <c r="X15" s="23"/>
      <c r="Y15" s="8"/>
      <c r="Z15" s="5"/>
      <c r="AA15" s="23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0</v>
      </c>
      <c r="H16" s="19">
        <v>0</v>
      </c>
      <c r="I16" s="19">
        <v>318718</v>
      </c>
      <c r="J16" s="20">
        <f t="shared" si="2"/>
        <v>0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8" t="str">
        <f t="shared" ref="T16:T21" si="4">IF(S16=0,"%",R16/S16)</f>
        <v>%</v>
      </c>
      <c r="U16" s="26"/>
      <c r="V16" s="23">
        <v>0</v>
      </c>
      <c r="W16" s="23">
        <v>0</v>
      </c>
      <c r="X16" s="23">
        <v>0</v>
      </c>
      <c r="Y16" s="8" t="str">
        <f t="shared" ref="Y16:Y21" si="5">IF(X16=0,"%",W16/X16)</f>
        <v>%</v>
      </c>
      <c r="Z16" s="26"/>
      <c r="AA16" s="23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0</v>
      </c>
      <c r="AL16" s="23">
        <f t="shared" ref="AL16:AL28" si="9">H16+M16+R16+W16+AB16+AG16</f>
        <v>0</v>
      </c>
      <c r="AM16" s="23">
        <f t="shared" ref="AM16:AM28" si="10">I16+N16+S16+X16+AC16+AH16</f>
        <v>318718</v>
      </c>
      <c r="AN16" s="8">
        <f t="shared" ref="AN16:AN21" si="11">IF(AM16=0,"%",AL16/AM16)</f>
        <v>0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8" t="str">
        <f t="shared" si="4"/>
        <v>%</v>
      </c>
      <c r="U17" s="26"/>
      <c r="V17" s="23">
        <v>0</v>
      </c>
      <c r="W17" s="23">
        <v>0</v>
      </c>
      <c r="X17" s="23">
        <v>0</v>
      </c>
      <c r="Y17" s="8" t="str">
        <f t="shared" si="5"/>
        <v>%</v>
      </c>
      <c r="Z17" s="26"/>
      <c r="AA17" s="23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71919.520000000004</v>
      </c>
      <c r="H18" s="19">
        <v>225887.29</v>
      </c>
      <c r="I18" s="19">
        <v>2665341.6</v>
      </c>
      <c r="J18" s="20">
        <f t="shared" si="2"/>
        <v>8.474984594845178E-2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8" t="str">
        <f t="shared" si="4"/>
        <v>%</v>
      </c>
      <c r="U18" s="26"/>
      <c r="V18" s="23">
        <v>0</v>
      </c>
      <c r="W18" s="23">
        <v>0</v>
      </c>
      <c r="X18" s="23">
        <v>0</v>
      </c>
      <c r="Y18" s="8" t="str">
        <f t="shared" si="5"/>
        <v>%</v>
      </c>
      <c r="Z18" s="26"/>
      <c r="AA18" s="23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71919.520000000004</v>
      </c>
      <c r="AL18" s="23">
        <f t="shared" si="9"/>
        <v>225887.29</v>
      </c>
      <c r="AM18" s="23">
        <f t="shared" si="10"/>
        <v>2665341.6</v>
      </c>
      <c r="AN18" s="8">
        <f t="shared" si="11"/>
        <v>8.474984594845178E-2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8" t="str">
        <f t="shared" si="4"/>
        <v>%</v>
      </c>
      <c r="U19" s="26"/>
      <c r="V19" s="23">
        <v>0</v>
      </c>
      <c r="W19" s="23">
        <v>0</v>
      </c>
      <c r="X19" s="23">
        <v>0</v>
      </c>
      <c r="Y19" s="8" t="str">
        <f t="shared" si="5"/>
        <v>%</v>
      </c>
      <c r="Z19" s="26"/>
      <c r="AA19" s="23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8" t="str">
        <f t="shared" si="4"/>
        <v>%</v>
      </c>
      <c r="U20" s="26"/>
      <c r="V20" s="23">
        <v>0</v>
      </c>
      <c r="W20" s="23">
        <v>0</v>
      </c>
      <c r="X20" s="23">
        <v>0</v>
      </c>
      <c r="Y20" s="8" t="str">
        <f t="shared" si="5"/>
        <v>%</v>
      </c>
      <c r="Z20" s="26"/>
      <c r="AA20" s="23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181846.73</v>
      </c>
      <c r="H21" s="19">
        <v>365080.18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8" t="str">
        <f t="shared" si="4"/>
        <v>%</v>
      </c>
      <c r="U21" s="26"/>
      <c r="V21" s="23">
        <v>0</v>
      </c>
      <c r="W21" s="23">
        <v>0</v>
      </c>
      <c r="X21" s="23">
        <v>0</v>
      </c>
      <c r="Y21" s="8" t="str">
        <f t="shared" si="5"/>
        <v>%</v>
      </c>
      <c r="Z21" s="26"/>
      <c r="AA21" s="23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181846.73</v>
      </c>
      <c r="AL21" s="23">
        <f t="shared" si="9"/>
        <v>365080.18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8"/>
      <c r="U22" s="5"/>
      <c r="V22" s="23"/>
      <c r="W22" s="23"/>
      <c r="X22" s="23"/>
      <c r="Y22" s="8"/>
      <c r="Z22" s="5"/>
      <c r="AA22" s="23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4654.21</v>
      </c>
      <c r="H23" s="19">
        <v>5471.34</v>
      </c>
      <c r="I23" s="19">
        <v>30000</v>
      </c>
      <c r="J23" s="20">
        <f t="shared" si="2"/>
        <v>0.18237800000000001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8" t="str">
        <f t="shared" ref="T23:T28" si="13">IF(S23=0,"%",R23/S23)</f>
        <v>%</v>
      </c>
      <c r="U23" s="29"/>
      <c r="V23" s="23">
        <v>0</v>
      </c>
      <c r="W23" s="23">
        <v>0</v>
      </c>
      <c r="X23" s="23">
        <v>0</v>
      </c>
      <c r="Y23" s="8" t="str">
        <f t="shared" ref="Y23:Y28" si="14">IF(X23=0,"%",W23/X23)</f>
        <v>%</v>
      </c>
      <c r="Z23" s="29"/>
      <c r="AA23" s="23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4654.21</v>
      </c>
      <c r="AL23" s="23">
        <f t="shared" si="9"/>
        <v>5471.34</v>
      </c>
      <c r="AM23" s="23">
        <f t="shared" si="10"/>
        <v>30000</v>
      </c>
      <c r="AN23" s="8">
        <f t="shared" ref="AN23:AN28" si="17">IF(AM23=0,"%",AL23/AM23)</f>
        <v>0.18237800000000001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8" t="str">
        <f t="shared" si="13"/>
        <v>%</v>
      </c>
      <c r="U24" s="29"/>
      <c r="V24" s="23">
        <v>0</v>
      </c>
      <c r="W24" s="23">
        <v>0</v>
      </c>
      <c r="X24" s="23">
        <v>0</v>
      </c>
      <c r="Y24" s="8" t="str">
        <f t="shared" si="14"/>
        <v>%</v>
      </c>
      <c r="Z24" s="29"/>
      <c r="AA24" s="23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8" t="str">
        <f t="shared" si="13"/>
        <v>%</v>
      </c>
      <c r="U25" s="29"/>
      <c r="V25" s="23">
        <v>0</v>
      </c>
      <c r="W25" s="23">
        <v>0</v>
      </c>
      <c r="X25" s="23">
        <v>0</v>
      </c>
      <c r="Y25" s="8" t="str">
        <f t="shared" si="14"/>
        <v>%</v>
      </c>
      <c r="Z25" s="29"/>
      <c r="AA25" s="23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52.09</v>
      </c>
      <c r="H26" s="19">
        <v>52.09</v>
      </c>
      <c r="I26" s="19">
        <v>20903</v>
      </c>
      <c r="J26" s="20">
        <f t="shared" si="2"/>
        <v>2.4919867961536624E-3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8" t="str">
        <f t="shared" si="13"/>
        <v>%</v>
      </c>
      <c r="U26" s="29"/>
      <c r="V26" s="23">
        <v>0</v>
      </c>
      <c r="W26" s="23">
        <v>0</v>
      </c>
      <c r="X26" s="23">
        <v>0</v>
      </c>
      <c r="Y26" s="8" t="str">
        <f t="shared" si="14"/>
        <v>%</v>
      </c>
      <c r="Z26" s="29"/>
      <c r="AA26" s="23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52.09</v>
      </c>
      <c r="AL26" s="23">
        <f t="shared" si="9"/>
        <v>52.09</v>
      </c>
      <c r="AM26" s="23">
        <f t="shared" si="10"/>
        <v>20903</v>
      </c>
      <c r="AN26" s="8">
        <f t="shared" si="17"/>
        <v>2.4919867961536624E-3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5124.75</v>
      </c>
      <c r="H27" s="19">
        <v>5124.75</v>
      </c>
      <c r="I27" s="19">
        <v>235000</v>
      </c>
      <c r="J27" s="20">
        <f>IF(I27=0,"%",H27/I27)</f>
        <v>2.1807446808510638E-2</v>
      </c>
      <c r="K27" s="28"/>
      <c r="L27" s="19">
        <v>18848.25</v>
      </c>
      <c r="M27" s="19">
        <v>18868.55</v>
      </c>
      <c r="N27" s="19">
        <v>260000</v>
      </c>
      <c r="O27" s="20">
        <f t="shared" si="12"/>
        <v>7.2571346153846153E-2</v>
      </c>
      <c r="P27" s="28"/>
      <c r="Q27" s="19">
        <v>0</v>
      </c>
      <c r="R27" s="19">
        <v>0</v>
      </c>
      <c r="S27" s="19">
        <v>0</v>
      </c>
      <c r="T27" s="8" t="str">
        <f t="shared" si="13"/>
        <v>%</v>
      </c>
      <c r="U27" s="29"/>
      <c r="V27" s="19">
        <v>0</v>
      </c>
      <c r="W27" s="23">
        <v>0</v>
      </c>
      <c r="X27" s="23">
        <v>0</v>
      </c>
      <c r="Y27" s="8" t="str">
        <f t="shared" si="14"/>
        <v>%</v>
      </c>
      <c r="Z27" s="29"/>
      <c r="AA27" s="23">
        <v>275506.00999999995</v>
      </c>
      <c r="AB27" s="23">
        <v>305518.06999999995</v>
      </c>
      <c r="AC27" s="23">
        <v>6275000</v>
      </c>
      <c r="AD27" s="8">
        <f t="shared" si="15"/>
        <v>4.8688138645418322E-2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299479.00999999995</v>
      </c>
      <c r="AL27" s="23">
        <f>H27+M27+R27+W27+AB27+AG27</f>
        <v>329511.36999999994</v>
      </c>
      <c r="AM27" s="23">
        <f t="shared" si="10"/>
        <v>6770000</v>
      </c>
      <c r="AN27" s="8">
        <f t="shared" si="17"/>
        <v>4.867228508124076E-2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8" t="str">
        <f t="shared" si="13"/>
        <v>%</v>
      </c>
      <c r="U28" s="29"/>
      <c r="V28" s="19">
        <v>0</v>
      </c>
      <c r="W28" s="23">
        <v>0</v>
      </c>
      <c r="X28" s="19">
        <v>0</v>
      </c>
      <c r="Y28" s="8" t="str">
        <f t="shared" si="14"/>
        <v>%</v>
      </c>
      <c r="Z28" s="29"/>
      <c r="AA28" s="23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0</v>
      </c>
      <c r="AL28" s="23">
        <f t="shared" si="9"/>
        <v>0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263597.3</v>
      </c>
      <c r="H29" s="57">
        <f>SUM(H13:H28)</f>
        <v>601615.64999999991</v>
      </c>
      <c r="I29" s="57">
        <f>SUM(I13:I28)</f>
        <v>3269962.6</v>
      </c>
      <c r="J29" s="31">
        <f>IF(I29=0,"",H29/I29)</f>
        <v>0.18398242536474266</v>
      </c>
      <c r="K29" s="29"/>
      <c r="L29" s="57">
        <f>SUM(L13:L28)</f>
        <v>18903.509999999998</v>
      </c>
      <c r="M29" s="57">
        <f>SUM(M13:M28)</f>
        <v>18923.809999999998</v>
      </c>
      <c r="N29" s="57">
        <f>SUM(N13:N28)</f>
        <v>4832000</v>
      </c>
      <c r="O29" s="31">
        <f>IF(N29=0,"",M29/N29)</f>
        <v>3.9163514072847678E-3</v>
      </c>
      <c r="P29" s="29"/>
      <c r="Q29" s="57">
        <f>SUM(Q13:Q28)</f>
        <v>68590.7</v>
      </c>
      <c r="R29" s="57">
        <f>SUM(R13:R28)</f>
        <v>151712.25</v>
      </c>
      <c r="S29" s="57">
        <f>SUM(S13:S28)</f>
        <v>1633403.44</v>
      </c>
      <c r="T29" s="31">
        <f>IF(S29=0,"",R29/S29)</f>
        <v>9.2881064337662966E-2</v>
      </c>
      <c r="U29" s="29"/>
      <c r="V29" s="57">
        <f>SUM(V13:V28)</f>
        <v>0</v>
      </c>
      <c r="W29" s="57">
        <f>SUM(W13:W28)</f>
        <v>0</v>
      </c>
      <c r="X29" s="57">
        <f>SUM(X13:X28)</f>
        <v>0</v>
      </c>
      <c r="Y29" s="31" t="str">
        <f>IF(X29=0,"",W29/X29)</f>
        <v/>
      </c>
      <c r="Z29" s="29"/>
      <c r="AA29" s="57">
        <f>SUM(AA13:AA28)</f>
        <v>275506.00999999995</v>
      </c>
      <c r="AB29" s="57">
        <f>SUM(AB13:AB28)</f>
        <v>305518.06999999995</v>
      </c>
      <c r="AC29" s="57">
        <f>SUM(AC13:AC28)</f>
        <v>6275000</v>
      </c>
      <c r="AD29" s="31">
        <f>IF(AC29=0,"",AB29/AC29)</f>
        <v>4.8688138645418322E-2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626597.52</v>
      </c>
      <c r="AL29" s="57">
        <f>SUM(AL13:AL28)</f>
        <v>1077769.7799999998</v>
      </c>
      <c r="AM29" s="57">
        <f>SUM(AM13:AM28)</f>
        <v>16010366.039999999</v>
      </c>
      <c r="AN29" s="31">
        <f>IF(AM29=0,"",AL29/AM29)</f>
        <v>6.7316998081575388E-2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8"/>
      <c r="U30" s="29"/>
      <c r="V30" s="29"/>
      <c r="W30" s="29"/>
      <c r="X30" s="29"/>
      <c r="Y30" s="8"/>
      <c r="Z30" s="29"/>
      <c r="AA30" s="29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1.149999999999999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8"/>
      <c r="U31" s="29"/>
      <c r="V31" s="29"/>
      <c r="W31" s="29"/>
      <c r="X31" s="29"/>
      <c r="Y31" s="8"/>
      <c r="Z31" s="29"/>
      <c r="AA31" s="29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8"/>
      <c r="U32" s="29"/>
      <c r="V32" s="29"/>
      <c r="W32" s="29"/>
      <c r="X32" s="29"/>
      <c r="Y32" s="8"/>
      <c r="Z32" s="29"/>
      <c r="AA32" s="29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0</v>
      </c>
      <c r="H33" s="19">
        <v>0</v>
      </c>
      <c r="I33" s="19">
        <v>37275</v>
      </c>
      <c r="J33" s="8">
        <f t="shared" ref="J33:J48" si="18">IF(I33=0,"%",H33/I33)</f>
        <v>0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14772.02</v>
      </c>
      <c r="R33" s="19">
        <v>19234.510000000002</v>
      </c>
      <c r="S33" s="19">
        <v>518929.20000000007</v>
      </c>
      <c r="T33" s="8">
        <f t="shared" ref="T33:T49" si="20">IF(S33=0,"%",R33/S33)</f>
        <v>3.7065769280279465E-2</v>
      </c>
      <c r="U33" s="29"/>
      <c r="V33" s="19">
        <v>0</v>
      </c>
      <c r="W33" s="19">
        <v>0</v>
      </c>
      <c r="X33" s="23">
        <v>0</v>
      </c>
      <c r="Y33" s="8" t="str">
        <f t="shared" ref="Y33:Y49" si="21">IF(X33=0,"%",W33/X33)</f>
        <v>%</v>
      </c>
      <c r="Z33" s="29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14772.02</v>
      </c>
      <c r="AL33" s="23">
        <f>H33+M33+R33+W33+AB33+AG33</f>
        <v>19234.510000000002</v>
      </c>
      <c r="AM33" s="23">
        <f>I33+N33+S33+X33+AC33+AH33</f>
        <v>556204.20000000007</v>
      </c>
      <c r="AN33" s="8">
        <f t="shared" ref="AN33:AN49" si="24">IF(AM33=0,"%",AL33/AM33)</f>
        <v>3.458174174161216E-2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134620.85</v>
      </c>
      <c r="H34" s="19">
        <v>166165.35000000003</v>
      </c>
      <c r="I34" s="19">
        <v>1003215.7899999999</v>
      </c>
      <c r="J34" s="8">
        <f t="shared" si="18"/>
        <v>0.1656327099875492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54293.680000000008</v>
      </c>
      <c r="R34" s="19">
        <v>132952.74000000002</v>
      </c>
      <c r="S34" s="19">
        <v>1015851.34</v>
      </c>
      <c r="T34" s="8">
        <f t="shared" si="20"/>
        <v>0.13087814600904107</v>
      </c>
      <c r="U34" s="29"/>
      <c r="V34" s="23">
        <v>0</v>
      </c>
      <c r="W34" s="23">
        <v>0</v>
      </c>
      <c r="X34" s="23">
        <v>0</v>
      </c>
      <c r="Y34" s="8" t="str">
        <f t="shared" si="21"/>
        <v>%</v>
      </c>
      <c r="Z34" s="29"/>
      <c r="AA34" s="23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188914.53000000003</v>
      </c>
      <c r="AL34" s="23">
        <f t="shared" ref="AL34:AL49" si="26">H34+M34+R34+W34+AB34+AG34</f>
        <v>299118.09000000008</v>
      </c>
      <c r="AM34" s="23">
        <f t="shared" ref="AM34:AM49" si="27">I34+N34+S34+X34+AC34+AH34</f>
        <v>2019067.13</v>
      </c>
      <c r="AN34" s="8">
        <f t="shared" si="24"/>
        <v>0.14814667900616069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0</v>
      </c>
      <c r="H35" s="19">
        <v>481.8</v>
      </c>
      <c r="I35" s="19">
        <v>165500</v>
      </c>
      <c r="J35" s="8">
        <f t="shared" si="18"/>
        <v>2.9111782477341391E-3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8" t="str">
        <f t="shared" si="20"/>
        <v>%</v>
      </c>
      <c r="U35" s="29"/>
      <c r="V35" s="23">
        <v>0</v>
      </c>
      <c r="W35" s="23">
        <v>0</v>
      </c>
      <c r="X35" s="23">
        <v>0</v>
      </c>
      <c r="Y35" s="8" t="str">
        <f t="shared" si="21"/>
        <v>%</v>
      </c>
      <c r="Z35" s="29"/>
      <c r="AA35" s="23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0</v>
      </c>
      <c r="AL35" s="23">
        <f t="shared" si="26"/>
        <v>481.8</v>
      </c>
      <c r="AM35" s="23">
        <f t="shared" si="27"/>
        <v>165500</v>
      </c>
      <c r="AN35" s="8">
        <f t="shared" si="24"/>
        <v>2.9111782477341391E-3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68502.3</v>
      </c>
      <c r="H36" s="19">
        <v>87493.000000000015</v>
      </c>
      <c r="I36" s="19">
        <v>435982.26000000007</v>
      </c>
      <c r="J36" s="8">
        <f t="shared" si="18"/>
        <v>0.20068018363866458</v>
      </c>
      <c r="K36" s="29"/>
      <c r="L36" s="19">
        <v>0</v>
      </c>
      <c r="M36" s="19">
        <v>0</v>
      </c>
      <c r="N36" s="19">
        <v>6857.69</v>
      </c>
      <c r="O36" s="8">
        <f t="shared" si="19"/>
        <v>0</v>
      </c>
      <c r="P36" s="29"/>
      <c r="Q36" s="23">
        <v>0</v>
      </c>
      <c r="R36" s="23">
        <v>0</v>
      </c>
      <c r="S36" s="19">
        <v>83606.009999999995</v>
      </c>
      <c r="T36" s="8">
        <f t="shared" si="20"/>
        <v>0</v>
      </c>
      <c r="U36" s="29"/>
      <c r="V36" s="23">
        <v>0</v>
      </c>
      <c r="W36" s="23">
        <v>0</v>
      </c>
      <c r="X36" s="23">
        <v>0</v>
      </c>
      <c r="Y36" s="8" t="str">
        <f t="shared" si="21"/>
        <v>%</v>
      </c>
      <c r="Z36" s="29"/>
      <c r="AA36" s="23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68502.3</v>
      </c>
      <c r="AL36" s="23">
        <f t="shared" si="26"/>
        <v>87493.000000000015</v>
      </c>
      <c r="AM36" s="23">
        <f t="shared" si="27"/>
        <v>526445.96000000008</v>
      </c>
      <c r="AN36" s="8">
        <f t="shared" si="24"/>
        <v>0.16619559584045435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8" t="str">
        <f t="shared" si="20"/>
        <v>%</v>
      </c>
      <c r="U37" s="29"/>
      <c r="V37" s="23">
        <v>0</v>
      </c>
      <c r="W37" s="23">
        <v>0</v>
      </c>
      <c r="X37" s="23">
        <v>0</v>
      </c>
      <c r="Y37" s="8" t="str">
        <f t="shared" si="21"/>
        <v>%</v>
      </c>
      <c r="Z37" s="29"/>
      <c r="AA37" s="23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0</v>
      </c>
      <c r="S38" s="19"/>
      <c r="T38" s="8" t="str">
        <f t="shared" si="20"/>
        <v>%</v>
      </c>
      <c r="U38" s="29"/>
      <c r="V38" s="23">
        <v>0</v>
      </c>
      <c r="W38" s="23">
        <v>0</v>
      </c>
      <c r="X38" s="23">
        <v>0</v>
      </c>
      <c r="Y38" s="8" t="str">
        <f t="shared" si="21"/>
        <v>%</v>
      </c>
      <c r="Z38" s="29"/>
      <c r="AA38" s="23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0</v>
      </c>
      <c r="AM38" s="23">
        <f t="shared" si="27"/>
        <v>0</v>
      </c>
      <c r="AN38" s="8" t="str">
        <f t="shared" si="24"/>
        <v>%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57784.1</v>
      </c>
      <c r="H39" s="19">
        <v>105522.78</v>
      </c>
      <c r="I39" s="19">
        <v>643830.44000000006</v>
      </c>
      <c r="J39" s="8">
        <f t="shared" si="18"/>
        <v>0.16389840157293586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8" t="str">
        <f t="shared" si="20"/>
        <v>%</v>
      </c>
      <c r="U39" s="29"/>
      <c r="V39" s="23">
        <v>0</v>
      </c>
      <c r="W39" s="23">
        <v>0</v>
      </c>
      <c r="X39" s="23">
        <v>0</v>
      </c>
      <c r="Y39" s="8" t="str">
        <f t="shared" si="21"/>
        <v>%</v>
      </c>
      <c r="Z39" s="29"/>
      <c r="AA39" s="23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57784.1</v>
      </c>
      <c r="AL39" s="23">
        <f t="shared" si="26"/>
        <v>105522.78</v>
      </c>
      <c r="AM39" s="23">
        <f t="shared" si="27"/>
        <v>643830.44000000006</v>
      </c>
      <c r="AN39" s="8">
        <f t="shared" si="24"/>
        <v>0.16389840157293586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29361.720000000012</v>
      </c>
      <c r="M40" s="19">
        <v>59171.349999999984</v>
      </c>
      <c r="N40" s="19">
        <f>4827596.59-2454</f>
        <v>4825142.59</v>
      </c>
      <c r="O40" s="8">
        <f t="shared" si="19"/>
        <v>1.2263129823900185E-2</v>
      </c>
      <c r="P40" s="29"/>
      <c r="Q40" s="23">
        <v>0</v>
      </c>
      <c r="R40" s="23">
        <v>0</v>
      </c>
      <c r="S40" s="19">
        <v>0</v>
      </c>
      <c r="T40" s="8" t="str">
        <f t="shared" si="20"/>
        <v>%</v>
      </c>
      <c r="U40" s="29"/>
      <c r="V40" s="23">
        <v>0</v>
      </c>
      <c r="W40" s="23">
        <v>0</v>
      </c>
      <c r="X40" s="23">
        <v>0</v>
      </c>
      <c r="Y40" s="8" t="str">
        <f t="shared" si="21"/>
        <v>%</v>
      </c>
      <c r="Z40" s="29"/>
      <c r="AA40" s="23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29361.720000000012</v>
      </c>
      <c r="AL40" s="23">
        <f t="shared" si="26"/>
        <v>59171.349999999984</v>
      </c>
      <c r="AM40" s="23">
        <f t="shared" si="27"/>
        <v>4825142.59</v>
      </c>
      <c r="AN40" s="8">
        <f t="shared" si="24"/>
        <v>1.2263129823900185E-2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18040.169999999998</v>
      </c>
      <c r="H41" s="19">
        <v>35394.400000000001</v>
      </c>
      <c r="I41" s="19">
        <v>225265.93</v>
      </c>
      <c r="J41" s="8">
        <f t="shared" si="18"/>
        <v>0.15712273933301854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1894</v>
      </c>
      <c r="R41" s="23">
        <v>1894</v>
      </c>
      <c r="S41" s="19">
        <v>6232.98</v>
      </c>
      <c r="T41" s="8">
        <f t="shared" si="20"/>
        <v>0.30386749195408941</v>
      </c>
      <c r="U41" s="29"/>
      <c r="V41" s="23">
        <v>0</v>
      </c>
      <c r="W41" s="23">
        <v>0</v>
      </c>
      <c r="X41" s="23">
        <v>0</v>
      </c>
      <c r="Y41" s="8" t="str">
        <f t="shared" si="21"/>
        <v>%</v>
      </c>
      <c r="Z41" s="29"/>
      <c r="AA41" s="23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19934.169999999998</v>
      </c>
      <c r="AL41" s="23">
        <f t="shared" si="26"/>
        <v>37288.400000000001</v>
      </c>
      <c r="AM41" s="23">
        <f t="shared" si="27"/>
        <v>231498.91</v>
      </c>
      <c r="AN41" s="8">
        <f t="shared" si="24"/>
        <v>0.16107376056327868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198662.03000000003</v>
      </c>
      <c r="H42" s="19">
        <v>326477.39999999997</v>
      </c>
      <c r="I42" s="19">
        <v>2431739.6</v>
      </c>
      <c r="J42" s="8">
        <f t="shared" si="18"/>
        <v>0.13425672715943762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10000</v>
      </c>
      <c r="T42" s="8">
        <f t="shared" si="20"/>
        <v>0</v>
      </c>
      <c r="U42" s="29"/>
      <c r="V42" s="23">
        <v>0</v>
      </c>
      <c r="W42" s="23">
        <v>0</v>
      </c>
      <c r="X42" s="23">
        <v>0</v>
      </c>
      <c r="Y42" s="8" t="str">
        <f t="shared" si="21"/>
        <v>%</v>
      </c>
      <c r="Z42" s="29"/>
      <c r="AA42" s="23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198662.03000000003</v>
      </c>
      <c r="AL42" s="23">
        <f t="shared" si="26"/>
        <v>326477.39999999997</v>
      </c>
      <c r="AM42" s="23">
        <f t="shared" si="27"/>
        <v>2441739.6</v>
      </c>
      <c r="AN42" s="8">
        <f t="shared" si="24"/>
        <v>0.13370688668029956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29214.9</v>
      </c>
      <c r="H43" s="19">
        <v>98406.749999999985</v>
      </c>
      <c r="I43" s="19">
        <v>150901</v>
      </c>
      <c r="J43" s="8">
        <f t="shared" si="18"/>
        <v>0.65212788516974696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0</v>
      </c>
      <c r="S43" s="19">
        <v>0</v>
      </c>
      <c r="T43" s="8" t="str">
        <f t="shared" si="20"/>
        <v>%</v>
      </c>
      <c r="U43" s="29"/>
      <c r="V43" s="23">
        <v>0</v>
      </c>
      <c r="W43" s="23">
        <v>0</v>
      </c>
      <c r="X43" s="23">
        <v>0</v>
      </c>
      <c r="Y43" s="8" t="str">
        <f t="shared" si="21"/>
        <v>%</v>
      </c>
      <c r="Z43" s="29"/>
      <c r="AA43" s="23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29214.9</v>
      </c>
      <c r="AL43" s="23">
        <f t="shared" si="26"/>
        <v>98406.749999999985</v>
      </c>
      <c r="AM43" s="23">
        <f t="shared" si="27"/>
        <v>150901</v>
      </c>
      <c r="AN43" s="8">
        <f t="shared" si="24"/>
        <v>0.65212788516974696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8" t="str">
        <f t="shared" si="20"/>
        <v>%</v>
      </c>
      <c r="U44" s="29"/>
      <c r="V44" s="23">
        <v>0</v>
      </c>
      <c r="W44" s="23">
        <v>0</v>
      </c>
      <c r="X44" s="23">
        <v>0</v>
      </c>
      <c r="Y44" s="8" t="str">
        <f t="shared" si="21"/>
        <v>%</v>
      </c>
      <c r="Z44" s="29"/>
      <c r="AA44" s="23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20755.96</v>
      </c>
      <c r="H45" s="19">
        <v>30851.23</v>
      </c>
      <c r="I45" s="19">
        <v>166894.59999999998</v>
      </c>
      <c r="J45" s="8">
        <f t="shared" si="18"/>
        <v>0.18485457288612098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8" t="str">
        <f t="shared" si="20"/>
        <v>%</v>
      </c>
      <c r="U45" s="29"/>
      <c r="V45" s="23">
        <v>0</v>
      </c>
      <c r="W45" s="23">
        <v>0</v>
      </c>
      <c r="X45" s="23">
        <v>0</v>
      </c>
      <c r="Y45" s="8" t="str">
        <f t="shared" si="21"/>
        <v>%</v>
      </c>
      <c r="Z45" s="29"/>
      <c r="AA45" s="23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20755.96</v>
      </c>
      <c r="AL45" s="23">
        <f t="shared" si="26"/>
        <v>30851.23</v>
      </c>
      <c r="AM45" s="23">
        <f t="shared" si="27"/>
        <v>166894.59999999998</v>
      </c>
      <c r="AN45" s="8">
        <f t="shared" si="24"/>
        <v>0.18485457288612098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0</v>
      </c>
      <c r="R46" s="19">
        <v>0</v>
      </c>
      <c r="S46" s="19">
        <v>0</v>
      </c>
      <c r="T46" s="8" t="str">
        <f t="shared" si="20"/>
        <v>%</v>
      </c>
      <c r="U46" s="29"/>
      <c r="V46" s="23">
        <v>0</v>
      </c>
      <c r="W46" s="23">
        <v>0</v>
      </c>
      <c r="X46" s="23">
        <v>0</v>
      </c>
      <c r="Y46" s="8" t="str">
        <f t="shared" si="21"/>
        <v>%</v>
      </c>
      <c r="Z46" s="29"/>
      <c r="AA46" s="23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0</v>
      </c>
      <c r="AL46" s="23">
        <f t="shared" si="26"/>
        <v>0</v>
      </c>
      <c r="AM46" s="23">
        <f t="shared" si="27"/>
        <v>0</v>
      </c>
      <c r="AN46" s="8" t="str">
        <f t="shared" si="24"/>
        <v>%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32350.01</v>
      </c>
      <c r="H47" s="19">
        <v>58502.409999999996</v>
      </c>
      <c r="I47" s="19">
        <v>368602</v>
      </c>
      <c r="J47" s="8">
        <f t="shared" si="18"/>
        <v>0.15871430431739381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8" t="str">
        <f t="shared" si="20"/>
        <v>%</v>
      </c>
      <c r="U47" s="29"/>
      <c r="V47" s="23">
        <v>0</v>
      </c>
      <c r="W47" s="23">
        <v>0</v>
      </c>
      <c r="X47" s="23">
        <v>0</v>
      </c>
      <c r="Y47" s="8" t="str">
        <f t="shared" si="21"/>
        <v>%</v>
      </c>
      <c r="Z47" s="29"/>
      <c r="AA47" s="23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32350.01</v>
      </c>
      <c r="AL47" s="23">
        <f t="shared" si="26"/>
        <v>58502.409999999996</v>
      </c>
      <c r="AM47" s="23">
        <f t="shared" si="27"/>
        <v>368602</v>
      </c>
      <c r="AN47" s="8">
        <f t="shared" si="24"/>
        <v>0.15871430431739381</v>
      </c>
    </row>
    <row r="48" spans="1:40" ht="14.25" customHeight="1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8" t="str">
        <f t="shared" si="20"/>
        <v>%</v>
      </c>
      <c r="U48" s="29"/>
      <c r="V48" s="19">
        <v>4755.26</v>
      </c>
      <c r="W48" s="19">
        <v>10537.71</v>
      </c>
      <c r="X48" s="19">
        <v>0</v>
      </c>
      <c r="Y48" s="8" t="str">
        <f t="shared" si="21"/>
        <v>%</v>
      </c>
      <c r="Z48" s="29"/>
      <c r="AA48" s="23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4755.26</v>
      </c>
      <c r="AL48" s="23">
        <f t="shared" si="26"/>
        <v>10537.71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8" t="str">
        <f t="shared" si="20"/>
        <v>%</v>
      </c>
      <c r="U49" s="29"/>
      <c r="V49" s="19">
        <v>0</v>
      </c>
      <c r="W49" s="19">
        <v>0</v>
      </c>
      <c r="X49" s="23">
        <v>0</v>
      </c>
      <c r="Y49" s="8" t="str">
        <f t="shared" si="21"/>
        <v>%</v>
      </c>
      <c r="Z49" s="29"/>
      <c r="AA49" s="23">
        <v>599618.24</v>
      </c>
      <c r="AB49" s="23">
        <v>1321377.1299999999</v>
      </c>
      <c r="AC49" s="23">
        <v>6275000</v>
      </c>
      <c r="AD49" s="8">
        <f t="shared" si="22"/>
        <v>0.21057802868525893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599618.24</v>
      </c>
      <c r="AL49" s="23">
        <f t="shared" si="26"/>
        <v>1321377.1299999999</v>
      </c>
      <c r="AM49" s="23">
        <f t="shared" si="27"/>
        <v>6275000</v>
      </c>
      <c r="AN49" s="8">
        <f t="shared" si="24"/>
        <v>0.21057802868525893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559930.32000000007</v>
      </c>
      <c r="H50" s="57">
        <f>SUM(H33:H47)</f>
        <v>909295.12</v>
      </c>
      <c r="I50" s="57">
        <f>SUM(I33:I49)</f>
        <v>5629206.6200000001</v>
      </c>
      <c r="J50" s="31">
        <f>IF(I50=0,"",H50/I50)</f>
        <v>0.16153166536281804</v>
      </c>
      <c r="K50" s="29"/>
      <c r="L50" s="57">
        <f>SUM(L33:L49)</f>
        <v>29361.720000000012</v>
      </c>
      <c r="M50" s="57">
        <f>SUM(M33:M49)</f>
        <v>59171.349999999984</v>
      </c>
      <c r="N50" s="57">
        <f>SUM(N33:N47)</f>
        <v>4832000.28</v>
      </c>
      <c r="O50" s="31">
        <f>IF(N50=0,"",M50/N50)</f>
        <v>1.2245725697681453E-2</v>
      </c>
      <c r="P50" s="29"/>
      <c r="Q50" s="71">
        <f>SUM(Q33:Q49)</f>
        <v>70959.700000000012</v>
      </c>
      <c r="R50" s="71">
        <f>SUM(R33:R49)</f>
        <v>154081.25000000003</v>
      </c>
      <c r="S50" s="71">
        <f>SUM(S33:S49)</f>
        <v>1634619.53</v>
      </c>
      <c r="T50" s="31">
        <f>IF(S50=0,"",R50/S50)</f>
        <v>9.4261231541752116E-2</v>
      </c>
      <c r="U50" s="29"/>
      <c r="V50" s="57">
        <f>SUM(V33:V49)</f>
        <v>4755.26</v>
      </c>
      <c r="W50" s="57">
        <f>SUM(W33:W49)</f>
        <v>10537.71</v>
      </c>
      <c r="X50" s="57">
        <f>SUM(X33:X49)</f>
        <v>0</v>
      </c>
      <c r="Y50" s="31" t="str">
        <f>IF(X50=0,"",W50/X50)</f>
        <v/>
      </c>
      <c r="Z50" s="29"/>
      <c r="AA50" s="57">
        <f>SUM(AA33:AA49)</f>
        <v>599618.24</v>
      </c>
      <c r="AB50" s="57">
        <f>SUM(AB33:AB49)</f>
        <v>1321377.1299999999</v>
      </c>
      <c r="AC50" s="57">
        <f>SUM(AC33:AC49)</f>
        <v>6275000</v>
      </c>
      <c r="AD50" s="31">
        <f>IF(AC50=0,"",AB50/AC50)</f>
        <v>0.21057802868525893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1264625.2400000002</v>
      </c>
      <c r="AL50" s="57">
        <f>SUM(AL33:AL49)</f>
        <v>2454462.5599999996</v>
      </c>
      <c r="AM50" s="57">
        <f>SUM(AM33:AM49)</f>
        <v>18370826.43</v>
      </c>
      <c r="AN50" s="31">
        <f>IF(AM50=0,"",AL50/AM50)</f>
        <v>0.13360654020397272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-296333.02000000008</v>
      </c>
      <c r="H51" s="58">
        <f>H29-H50</f>
        <v>-307679.47000000009</v>
      </c>
      <c r="I51" s="58">
        <f>I29-I50</f>
        <v>-2359244.02</v>
      </c>
      <c r="J51" s="31">
        <f>IF(I51=0,"",H51/I51)</f>
        <v>0.13041443250113657</v>
      </c>
      <c r="K51" s="29"/>
      <c r="L51" s="58">
        <f>L29-L50</f>
        <v>-10458.210000000014</v>
      </c>
      <c r="M51" s="58">
        <f>M29-M50</f>
        <v>-40247.539999999986</v>
      </c>
      <c r="N51" s="136">
        <f>N29-N50</f>
        <v>-0.28000000026077032</v>
      </c>
      <c r="O51" s="31">
        <f>IF(N51=0,"",M51/N51)</f>
        <v>143741.21415184479</v>
      </c>
      <c r="P51" s="29"/>
      <c r="Q51" s="58">
        <f>Q29-Q50</f>
        <v>-2369.0000000000146</v>
      </c>
      <c r="R51" s="58">
        <f>R29-R50</f>
        <v>-2369.0000000000291</v>
      </c>
      <c r="S51" s="136">
        <f>S29-S50</f>
        <v>-1216.0900000000838</v>
      </c>
      <c r="T51" s="31"/>
      <c r="U51" s="29"/>
      <c r="V51" s="58">
        <f>V29-V50</f>
        <v>-4755.26</v>
      </c>
      <c r="W51" s="58">
        <f>W29-W50</f>
        <v>-10537.71</v>
      </c>
      <c r="X51" s="58">
        <f>X29-X50</f>
        <v>0</v>
      </c>
      <c r="Y51" s="31" t="str">
        <f>IF(X51=0,"",W51/X51)</f>
        <v/>
      </c>
      <c r="Z51" s="29"/>
      <c r="AA51" s="58">
        <f>AA29-AA50</f>
        <v>-324112.23000000004</v>
      </c>
      <c r="AB51" s="58">
        <f>AB29-AB50</f>
        <v>-1015859.0599999999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-638027.7200000002</v>
      </c>
      <c r="AL51" s="58">
        <f>AL29-AL50</f>
        <v>-1376692.7799999998</v>
      </c>
      <c r="AM51" s="58">
        <f>AM29-AM50</f>
        <v>-2360460.3900000006</v>
      </c>
      <c r="AN51" s="31">
        <f>IF(AM51=0,"",AL51/AM51)</f>
        <v>0.58323062137890802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8"/>
      <c r="U52" s="29"/>
      <c r="V52" s="29"/>
      <c r="W52" s="29"/>
      <c r="X52" s="29"/>
      <c r="Y52" s="8"/>
      <c r="Z52" s="29"/>
      <c r="AA52" s="29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8"/>
      <c r="U53" s="29"/>
      <c r="V53" s="29"/>
      <c r="W53" s="29"/>
      <c r="X53" s="29"/>
      <c r="Y53" s="8"/>
      <c r="Z53" s="29"/>
      <c r="AA53" s="29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446189.28</v>
      </c>
      <c r="H54" s="19">
        <v>662328.91</v>
      </c>
      <c r="I54" s="19">
        <v>2346817.64</v>
      </c>
      <c r="J54" s="8">
        <f>IF(I54=0,"%",H54/I54)</f>
        <v>0.28222427627568031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8" t="str">
        <f>IF(S54=0,"%",R54/S54)</f>
        <v>%</v>
      </c>
      <c r="U54" s="29"/>
      <c r="V54" s="19">
        <v>0</v>
      </c>
      <c r="W54" s="19">
        <v>0</v>
      </c>
      <c r="X54" s="29">
        <v>0</v>
      </c>
      <c r="Y54" s="8" t="str">
        <f>IF(X54=0,"%",W54/X54)</f>
        <v>%</v>
      </c>
      <c r="Z54" s="29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446189.28</v>
      </c>
      <c r="AL54" s="23">
        <f t="shared" si="28"/>
        <v>662328.91</v>
      </c>
      <c r="AM54" s="23">
        <f t="shared" si="28"/>
        <v>2346817.64</v>
      </c>
      <c r="AN54" s="8">
        <f>IF(AM54=0,"%",AL54/AM54)</f>
        <v>0.28222427627568031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0</v>
      </c>
      <c r="H55" s="19">
        <v>0</v>
      </c>
      <c r="I55" s="19">
        <v>27574</v>
      </c>
      <c r="J55" s="8">
        <f>IF(I55=0,"%",H55/I55)</f>
        <v>0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1657643.69</v>
      </c>
      <c r="S55" s="29">
        <v>0</v>
      </c>
      <c r="T55" s="8" t="str">
        <f>IF(S55=0,"%",R55/S55)</f>
        <v>%</v>
      </c>
      <c r="U55" s="29"/>
      <c r="V55" s="19">
        <v>0</v>
      </c>
      <c r="W55" s="19">
        <v>0</v>
      </c>
      <c r="X55" s="29">
        <v>0</v>
      </c>
      <c r="Y55" s="8" t="str">
        <f>IF(X55=0,"%",W55/X55)</f>
        <v>%</v>
      </c>
      <c r="Z55" s="29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0</v>
      </c>
      <c r="AL55" s="23">
        <f t="shared" si="28"/>
        <v>1657643.69</v>
      </c>
      <c r="AM55" s="23">
        <f t="shared" si="28"/>
        <v>27574</v>
      </c>
      <c r="AN55" s="8">
        <f>IF(AM55=0,"%",AL55/AM55)</f>
        <v>60.116185174439686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446189.28</v>
      </c>
      <c r="H56" s="30">
        <f>SUM(H54-H55)</f>
        <v>662328.91</v>
      </c>
      <c r="I56" s="30">
        <f>SUM(I54-I55)</f>
        <v>2319243.64</v>
      </c>
      <c r="J56" s="31">
        <f>IF(I56=0,"",H56/I56)</f>
        <v>0.28557970304491165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-1657643.69</v>
      </c>
      <c r="S56" s="30">
        <f>SUM(S54:S55)</f>
        <v>0</v>
      </c>
      <c r="T56" s="31" t="str">
        <f>IF(S56=0,"",R56/S56)</f>
        <v/>
      </c>
      <c r="U56" s="29"/>
      <c r="V56" s="30">
        <f>SUM(V54:V55)</f>
        <v>0</v>
      </c>
      <c r="W56" s="30">
        <f>SUM(W54:W55)</f>
        <v>0</v>
      </c>
      <c r="X56" s="30">
        <f>SUM(X54:X55)</f>
        <v>0</v>
      </c>
      <c r="Y56" s="31" t="str">
        <f>IF(X56=0,"",W56/X56)</f>
        <v/>
      </c>
      <c r="Z56" s="29"/>
      <c r="AA56" s="30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446189.28</v>
      </c>
      <c r="AL56" s="30">
        <f>AL54-AL55</f>
        <v>-995314.77999999991</v>
      </c>
      <c r="AM56" s="30">
        <f>SUM(AM54:AM55)</f>
        <v>2374391.64</v>
      </c>
      <c r="AN56" s="31">
        <f>IF(AM56=0,"",AL56/AM56)</f>
        <v>-0.41918728285279838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8"/>
      <c r="U57" s="29"/>
      <c r="V57" s="29"/>
      <c r="W57" s="29"/>
      <c r="X57" s="29"/>
      <c r="Y57" s="8"/>
      <c r="Z57" s="29"/>
      <c r="AA57" s="29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149856.25999999995</v>
      </c>
      <c r="H58" s="59">
        <f>H51+H56</f>
        <v>354649.43999999994</v>
      </c>
      <c r="I58" s="59">
        <f>I51+I56</f>
        <v>-40000.379999999888</v>
      </c>
      <c r="J58" s="60"/>
      <c r="K58" s="59"/>
      <c r="L58" s="59"/>
      <c r="M58" s="59">
        <f>M29-M50+M56</f>
        <v>-40247.539999999986</v>
      </c>
      <c r="N58" s="59">
        <f>N29-N50+N56</f>
        <v>-0.28000000026077032</v>
      </c>
      <c r="O58" s="59"/>
      <c r="P58" s="59">
        <f>P29-P50+P56</f>
        <v>0</v>
      </c>
      <c r="Q58" s="59"/>
      <c r="R58" s="59">
        <f>R51+R56</f>
        <v>-1660012.69</v>
      </c>
      <c r="S58" s="59"/>
      <c r="T58" s="59"/>
      <c r="U58" s="59"/>
      <c r="V58" s="59"/>
      <c r="W58" s="59">
        <f>W29-W50+W56</f>
        <v>-10537.71</v>
      </c>
      <c r="X58" s="59">
        <f>X29-X50+X56</f>
        <v>0</v>
      </c>
      <c r="Y58" s="59"/>
      <c r="Z58" s="59">
        <f>Z29-Z50+Z56</f>
        <v>0</v>
      </c>
      <c r="AA58" s="59"/>
      <c r="AB58" s="59">
        <f>AB29-AB50+AB56</f>
        <v>-1015859.0599999999</v>
      </c>
      <c r="AC58" s="59"/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-2372007.5599999996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60" t="str">
        <f>IF(S59=0,"",R59/S59)</f>
        <v/>
      </c>
      <c r="U59" s="59"/>
      <c r="V59" s="59"/>
      <c r="W59" s="59"/>
      <c r="X59" s="59"/>
      <c r="Y59" s="60" t="str">
        <f>IF(X59=0,"",W59/X59)</f>
        <v/>
      </c>
      <c r="Z59" s="59"/>
      <c r="AA59" s="59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60" t="str">
        <f>IF(S60=0,"",R60/S60)</f>
        <v/>
      </c>
      <c r="U60" s="59"/>
      <c r="V60" s="59"/>
      <c r="W60" s="59"/>
      <c r="X60" s="59"/>
      <c r="Y60" s="60" t="str">
        <f>IF(X60=0,"",W60/X60)</f>
        <v/>
      </c>
      <c r="Z60" s="59"/>
      <c r="AA60" s="59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61" t="str">
        <f>IF(S61=0,"",R61/S61)</f>
        <v/>
      </c>
      <c r="U61" s="59"/>
      <c r="V61" s="57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  <c r="Z61" s="59"/>
      <c r="AA61" s="57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60"/>
      <c r="U62" s="59"/>
      <c r="V62" s="59"/>
      <c r="W62" s="59"/>
      <c r="X62" s="59"/>
      <c r="Y62" s="60"/>
      <c r="Z62" s="59"/>
      <c r="AA62" s="59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149856.25999999995</v>
      </c>
      <c r="H63" s="65">
        <f>H61+H58</f>
        <v>354649.43999999994</v>
      </c>
      <c r="I63" s="65">
        <f>I61+I58</f>
        <v>-40000.379999999888</v>
      </c>
      <c r="J63" s="63"/>
      <c r="K63" s="64"/>
      <c r="L63" s="65">
        <f>L61+L58</f>
        <v>0</v>
      </c>
      <c r="M63" s="65">
        <f>M61+M58</f>
        <v>-40247.539999999986</v>
      </c>
      <c r="N63" s="65">
        <f>N61+N58</f>
        <v>-0.28000000026077032</v>
      </c>
      <c r="O63" s="63">
        <f>IF(N63=0,"%",M63/N63)</f>
        <v>143741.21415184479</v>
      </c>
      <c r="P63" s="64"/>
      <c r="Q63" s="65">
        <f>Q61+Q58</f>
        <v>0</v>
      </c>
      <c r="R63" s="65">
        <f>R61+R58</f>
        <v>-1660012.69</v>
      </c>
      <c r="S63" s="65">
        <f>S61+S58</f>
        <v>0</v>
      </c>
      <c r="T63" s="63" t="str">
        <f>IF(S63=0,"%",R63/S63)</f>
        <v>%</v>
      </c>
      <c r="U63" s="64"/>
      <c r="V63" s="65">
        <f>V61+V58</f>
        <v>0</v>
      </c>
      <c r="W63" s="65">
        <f>W61+W58</f>
        <v>-10537.71</v>
      </c>
      <c r="X63" s="62">
        <f>X61+X58</f>
        <v>0</v>
      </c>
      <c r="Y63" s="63" t="str">
        <f>IF(X63=0,"%",W63/X63)</f>
        <v>%</v>
      </c>
      <c r="Z63" s="64"/>
      <c r="AA63" s="65">
        <f>AA61+AA58</f>
        <v>0</v>
      </c>
      <c r="AB63" s="65">
        <f>AB61+AB58</f>
        <v>-1015859.0599999999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-2372007.5599999996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4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dimension ref="A1:BB59"/>
  <sheetViews>
    <sheetView view="pageBreakPreview" topLeftCell="C1" zoomScale="80" zoomScaleNormal="70" zoomScaleSheetLayoutView="80" workbookViewId="0">
      <selection activeCell="AX23" sqref="AX23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49" t="s">
        <v>85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</row>
    <row r="2" spans="1:50" ht="23.25" x14ac:dyDescent="0.35">
      <c r="A2" s="45"/>
      <c r="B2" s="46"/>
      <c r="C2" s="149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</row>
    <row r="3" spans="1:50" ht="23.25" x14ac:dyDescent="0.35">
      <c r="A3" s="45"/>
      <c r="B3" s="46"/>
      <c r="C3" s="149" t="s">
        <v>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</row>
    <row r="4" spans="1:50" ht="23.25" x14ac:dyDescent="0.35">
      <c r="A4" s="45"/>
      <c r="B4" s="46"/>
      <c r="C4" s="149" t="s">
        <v>105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</row>
    <row r="5" spans="1:50" ht="23.4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57" t="s">
        <v>86</v>
      </c>
      <c r="H8" s="158"/>
      <c r="I8" s="158"/>
      <c r="J8" s="159"/>
      <c r="K8" s="77"/>
      <c r="L8" s="157" t="s">
        <v>87</v>
      </c>
      <c r="M8" s="158"/>
      <c r="N8" s="158"/>
      <c r="O8" s="159"/>
      <c r="P8" s="77"/>
      <c r="Q8" s="157" t="s">
        <v>88</v>
      </c>
      <c r="R8" s="158"/>
      <c r="S8" s="158"/>
      <c r="T8" s="159"/>
      <c r="U8" s="77"/>
      <c r="V8" s="157" t="s">
        <v>89</v>
      </c>
      <c r="W8" s="158"/>
      <c r="X8" s="158"/>
      <c r="Y8" s="159"/>
      <c r="Z8" s="78"/>
      <c r="AA8" s="157" t="s">
        <v>90</v>
      </c>
      <c r="AB8" s="158"/>
      <c r="AC8" s="158"/>
      <c r="AD8" s="159"/>
      <c r="AE8" s="78"/>
      <c r="AF8" s="157" t="s">
        <v>91</v>
      </c>
      <c r="AG8" s="158"/>
      <c r="AH8" s="158"/>
      <c r="AI8" s="159"/>
      <c r="AJ8" s="78"/>
      <c r="AK8" s="157" t="s">
        <v>92</v>
      </c>
      <c r="AL8" s="158"/>
      <c r="AM8" s="158"/>
      <c r="AN8" s="159"/>
      <c r="AO8" s="78"/>
      <c r="AP8" s="157" t="s">
        <v>93</v>
      </c>
      <c r="AQ8" s="158"/>
      <c r="AR8" s="158"/>
      <c r="AS8" s="159"/>
      <c r="AT8" s="78"/>
      <c r="AU8" s="166" t="s">
        <v>94</v>
      </c>
      <c r="AV8" s="167"/>
      <c r="AW8" s="167"/>
      <c r="AX8" s="168"/>
    </row>
    <row r="9" spans="1:50" ht="16.5" x14ac:dyDescent="0.25">
      <c r="A9" s="45"/>
      <c r="B9" s="46"/>
      <c r="C9" s="77"/>
      <c r="D9" s="79"/>
      <c r="E9" s="125"/>
      <c r="F9" s="79"/>
      <c r="G9" s="160"/>
      <c r="H9" s="161"/>
      <c r="I9" s="161"/>
      <c r="J9" s="162"/>
      <c r="K9" s="81"/>
      <c r="L9" s="160"/>
      <c r="M9" s="161"/>
      <c r="N9" s="161"/>
      <c r="O9" s="162"/>
      <c r="P9" s="81"/>
      <c r="Q9" s="160"/>
      <c r="R9" s="161"/>
      <c r="S9" s="161"/>
      <c r="T9" s="162"/>
      <c r="U9" s="77"/>
      <c r="V9" s="160"/>
      <c r="W9" s="161"/>
      <c r="X9" s="161"/>
      <c r="Y9" s="162"/>
      <c r="Z9" s="78"/>
      <c r="AA9" s="160"/>
      <c r="AB9" s="161"/>
      <c r="AC9" s="161"/>
      <c r="AD9" s="162"/>
      <c r="AE9" s="78"/>
      <c r="AF9" s="160"/>
      <c r="AG9" s="161"/>
      <c r="AH9" s="161"/>
      <c r="AI9" s="162"/>
      <c r="AJ9" s="78"/>
      <c r="AK9" s="160"/>
      <c r="AL9" s="161"/>
      <c r="AM9" s="161"/>
      <c r="AN9" s="162"/>
      <c r="AO9" s="78"/>
      <c r="AP9" s="160"/>
      <c r="AQ9" s="161"/>
      <c r="AR9" s="161"/>
      <c r="AS9" s="162"/>
      <c r="AT9" s="78"/>
      <c r="AU9" s="163" t="s">
        <v>97</v>
      </c>
      <c r="AV9" s="164"/>
      <c r="AW9" s="164"/>
      <c r="AX9" s="165"/>
    </row>
    <row r="10" spans="1:50" s="2" customFormat="1" ht="67.900000000000006" customHeight="1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0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0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619589.79</v>
      </c>
      <c r="I17" s="92">
        <f>'1351'!I17</f>
        <v>3647101</v>
      </c>
      <c r="J17" s="93">
        <v>9.0909091400849323E-2</v>
      </c>
      <c r="K17" s="98"/>
      <c r="L17" s="92">
        <v>0</v>
      </c>
      <c r="M17" s="92">
        <f>'1361'!H19</f>
        <v>775086.45</v>
      </c>
      <c r="N17" s="92">
        <f>'1361'!I19</f>
        <v>4589751</v>
      </c>
      <c r="O17" s="80">
        <f t="shared" ref="O17:O22" si="3">IF(N17=0,"%",M17/N17)</f>
        <v>0.16887331142800557</v>
      </c>
      <c r="P17" s="99"/>
      <c r="Q17" s="96" t="e">
        <f>G17+L17+#REF!</f>
        <v>#REF!</v>
      </c>
      <c r="R17" s="92">
        <f>'1401'!H19</f>
        <v>563404.42000000004</v>
      </c>
      <c r="S17" s="92">
        <f>'1401'!I19</f>
        <v>3376417</v>
      </c>
      <c r="T17" s="80">
        <f t="shared" ref="T17:T22" si="4">IF(S17=0,"%",R17/S17)</f>
        <v>0.16686458455812775</v>
      </c>
      <c r="U17" s="77"/>
      <c r="V17" s="96" t="e">
        <f>L17+#REF!+Q17</f>
        <v>#REF!</v>
      </c>
      <c r="W17" s="92">
        <f>'1421'!H19</f>
        <v>560824.49</v>
      </c>
      <c r="X17" s="92">
        <f>'1421'!I19</f>
        <v>3238858</v>
      </c>
      <c r="Y17" s="80">
        <f t="shared" ref="Y17:Y22" si="5">IF(X17=0,"%",W17/X17)</f>
        <v>0.17315501019186391</v>
      </c>
      <c r="Z17" s="78"/>
      <c r="AA17" s="96" t="e">
        <f>#REF!+Q17+V17</f>
        <v>#REF!</v>
      </c>
      <c r="AB17" s="92">
        <f>'1601'!H19</f>
        <v>718078.89</v>
      </c>
      <c r="AC17" s="92">
        <f>'1601'!I19</f>
        <v>4264724</v>
      </c>
      <c r="AD17" s="80">
        <f t="shared" ref="AD17:AD22" si="6">IF(AC17=0,"%",AB17/AC17)</f>
        <v>0.16837640372507107</v>
      </c>
      <c r="AE17" s="78"/>
      <c r="AF17" s="92">
        <v>0</v>
      </c>
      <c r="AG17" s="92">
        <f>'1621'!H19</f>
        <v>863234.1</v>
      </c>
      <c r="AH17" s="96">
        <f>'1621'!I19</f>
        <v>4846016</v>
      </c>
      <c r="AI17" s="80">
        <f t="shared" ref="AI17:AI22" si="7">IF(AH17=0,"%",AG17/AH17)</f>
        <v>0.17813273831535018</v>
      </c>
      <c r="AJ17" s="78"/>
      <c r="AK17" s="96" t="e">
        <f t="shared" ref="AK17:AK22" si="8">V17+AA17+AF17</f>
        <v>#REF!</v>
      </c>
      <c r="AL17" s="96">
        <f>'1721'!H19</f>
        <v>1743496.09</v>
      </c>
      <c r="AM17" s="96">
        <f>'1721'!I19</f>
        <v>10338423</v>
      </c>
      <c r="AN17" s="80">
        <f t="shared" ref="AN17:AN22" si="9">IF(AM17=0,"%",AL17/AM17)</f>
        <v>0.16864236354035814</v>
      </c>
      <c r="AO17" s="78"/>
      <c r="AP17" s="96" t="e">
        <f t="shared" ref="AP17:AP22" si="10">AA17+AF17+AK17</f>
        <v>#REF!</v>
      </c>
      <c r="AQ17" s="96">
        <f>'9000'!H16</f>
        <v>0</v>
      </c>
      <c r="AR17" s="96">
        <f>'9000'!I16</f>
        <v>318718</v>
      </c>
      <c r="AS17" s="80">
        <f t="shared" ref="AS17:AS22" si="11">IF(AR17=0,"%",AQ17/AR17)</f>
        <v>0</v>
      </c>
      <c r="AT17" s="78"/>
      <c r="AU17" s="96" t="e">
        <f t="shared" ref="AU17:AU22" si="12">AF17+AK17+AP17</f>
        <v>#REF!</v>
      </c>
      <c r="AV17" s="92">
        <f t="shared" si="1"/>
        <v>5843714.2300000004</v>
      </c>
      <c r="AW17" s="92">
        <f t="shared" si="2"/>
        <v>34620008</v>
      </c>
      <c r="AX17" s="93">
        <f t="shared" ref="AX17:AX22" si="13">IF(AW17=0,"%",AV17/AW17)</f>
        <v>0.16879586596282706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12812.04</v>
      </c>
      <c r="I19" s="92">
        <f>'1351'!I19</f>
        <v>70936</v>
      </c>
      <c r="J19" s="93">
        <v>9.090903295722573E-2</v>
      </c>
      <c r="K19" s="98"/>
      <c r="L19" s="92">
        <v>0</v>
      </c>
      <c r="M19" s="92">
        <f>'1361'!H21</f>
        <v>14908.78</v>
      </c>
      <c r="N19" s="92">
        <f>'1361'!I21</f>
        <v>82545</v>
      </c>
      <c r="O19" s="80">
        <f t="shared" si="3"/>
        <v>0.18061396813859107</v>
      </c>
      <c r="P19" s="99"/>
      <c r="Q19" s="96" t="e">
        <f>G19+L19+#REF!</f>
        <v>#REF!</v>
      </c>
      <c r="R19" s="92">
        <f>'1401'!H21</f>
        <v>25763.52</v>
      </c>
      <c r="S19" s="92">
        <f>'1401'!I21</f>
        <v>142643</v>
      </c>
      <c r="T19" s="80">
        <f t="shared" si="4"/>
        <v>0.180615382458305</v>
      </c>
      <c r="U19" s="77"/>
      <c r="V19" s="96" t="e">
        <f>L19+#REF!+Q19</f>
        <v>#REF!</v>
      </c>
      <c r="W19" s="92">
        <f>'1421'!H21</f>
        <v>9391.0499999999993</v>
      </c>
      <c r="X19" s="92">
        <f>'1421'!I21</f>
        <v>51995</v>
      </c>
      <c r="Y19" s="80">
        <f t="shared" si="5"/>
        <v>0.1806144821617463</v>
      </c>
      <c r="Z19" s="78"/>
      <c r="AA19" s="96" t="e">
        <f>#REF!+Q19+V19</f>
        <v>#REF!</v>
      </c>
      <c r="AB19" s="92">
        <f>'1601'!H21</f>
        <v>45031.93</v>
      </c>
      <c r="AC19" s="92">
        <f>'1601'!I21</f>
        <v>249328</v>
      </c>
      <c r="AD19" s="80">
        <f t="shared" si="6"/>
        <v>0.18061320830392094</v>
      </c>
      <c r="AE19" s="78"/>
      <c r="AF19" s="92">
        <v>0</v>
      </c>
      <c r="AG19" s="92">
        <f>'1621'!H21</f>
        <v>42942.47</v>
      </c>
      <c r="AH19" s="96">
        <f>'1621'!I21</f>
        <v>237759</v>
      </c>
      <c r="AI19" s="80">
        <f t="shared" si="7"/>
        <v>0.18061343629473542</v>
      </c>
      <c r="AJ19" s="78"/>
      <c r="AK19" s="96" t="e">
        <f t="shared" si="8"/>
        <v>#REF!</v>
      </c>
      <c r="AL19" s="96">
        <f>'1721'!H21</f>
        <v>74735.509999999995</v>
      </c>
      <c r="AM19" s="96">
        <f>'1721'!I21</f>
        <v>413787</v>
      </c>
      <c r="AN19" s="80">
        <f t="shared" si="9"/>
        <v>0.18061347988216159</v>
      </c>
      <c r="AO19" s="78"/>
      <c r="AP19" s="96" t="e">
        <f t="shared" si="10"/>
        <v>#REF!</v>
      </c>
      <c r="AQ19" s="96">
        <f>'9000'!H18</f>
        <v>225887.29</v>
      </c>
      <c r="AR19" s="96">
        <f>'9000'!I18</f>
        <v>2665341.6</v>
      </c>
      <c r="AS19" s="80">
        <f t="shared" si="11"/>
        <v>8.474984594845178E-2</v>
      </c>
      <c r="AT19" s="78"/>
      <c r="AU19" s="96" t="e">
        <f t="shared" si="12"/>
        <v>#REF!</v>
      </c>
      <c r="AV19" s="92">
        <f t="shared" si="1"/>
        <v>451472.58999999997</v>
      </c>
      <c r="AW19" s="92">
        <f t="shared" si="2"/>
        <v>3914334.6</v>
      </c>
      <c r="AX19" s="93">
        <f t="shared" si="13"/>
        <v>0.11533827230814657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98154.46</v>
      </c>
      <c r="I20" s="92">
        <f>'1351'!I20</f>
        <v>546006</v>
      </c>
      <c r="J20" s="93">
        <v>9.0909086017358795E-2</v>
      </c>
      <c r="K20" s="98"/>
      <c r="L20" s="92">
        <v>0</v>
      </c>
      <c r="M20" s="92">
        <f>'1361'!H22</f>
        <v>122736.66</v>
      </c>
      <c r="N20" s="92">
        <f>'1361'!I22</f>
        <v>685934</v>
      </c>
      <c r="O20" s="80">
        <f t="shared" si="3"/>
        <v>0.17893362918298261</v>
      </c>
      <c r="P20" s="99"/>
      <c r="Q20" s="96" t="e">
        <f>G20+L20+#REF!</f>
        <v>#REF!</v>
      </c>
      <c r="R20" s="92">
        <f>'1401'!H22</f>
        <v>87450.62</v>
      </c>
      <c r="S20" s="92">
        <f>'1401'!I22</f>
        <v>478875</v>
      </c>
      <c r="T20" s="80">
        <f t="shared" si="4"/>
        <v>0.18261679979117723</v>
      </c>
      <c r="U20" s="77"/>
      <c r="V20" s="96" t="e">
        <f>L20+#REF!+Q20</f>
        <v>#REF!</v>
      </c>
      <c r="W20" s="92">
        <f>'1421'!H22</f>
        <v>87099.58</v>
      </c>
      <c r="X20" s="92">
        <f>'1421'!I22</f>
        <v>478172</v>
      </c>
      <c r="Y20" s="80">
        <f t="shared" si="5"/>
        <v>0.18215115063199017</v>
      </c>
      <c r="Z20" s="78"/>
      <c r="AA20" s="96" t="e">
        <f>#REF!+Q20+V20</f>
        <v>#REF!</v>
      </c>
      <c r="AB20" s="92">
        <f>'1601'!H22</f>
        <v>107396.76</v>
      </c>
      <c r="AC20" s="92">
        <f>'1601'!I22</f>
        <v>602838</v>
      </c>
      <c r="AD20" s="80">
        <f t="shared" si="6"/>
        <v>0.1781519413175679</v>
      </c>
      <c r="AE20" s="78"/>
      <c r="AF20" s="92">
        <v>0</v>
      </c>
      <c r="AG20" s="92">
        <f>'1621'!H22</f>
        <v>129842.78</v>
      </c>
      <c r="AH20" s="96">
        <f>'1621'!I22</f>
        <v>692357</v>
      </c>
      <c r="AI20" s="80">
        <f t="shared" si="7"/>
        <v>0.18753732539715781</v>
      </c>
      <c r="AJ20" s="78"/>
      <c r="AK20" s="96" t="e">
        <f t="shared" si="8"/>
        <v>#REF!</v>
      </c>
      <c r="AL20" s="96">
        <f>'1721'!H22</f>
        <v>264747.8</v>
      </c>
      <c r="AM20" s="96">
        <f>'1721'!I22</f>
        <v>1483517</v>
      </c>
      <c r="AN20" s="80">
        <f t="shared" si="9"/>
        <v>0.17845956601778071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897428.65999999992</v>
      </c>
      <c r="AW20" s="92">
        <f t="shared" si="2"/>
        <v>4967699</v>
      </c>
      <c r="AX20" s="93">
        <f t="shared" si="13"/>
        <v>0.18065278512244803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0</v>
      </c>
      <c r="I22" s="92">
        <f>'1351'!I22</f>
        <v>0</v>
      </c>
      <c r="J22" s="93" t="s">
        <v>95</v>
      </c>
      <c r="K22" s="98"/>
      <c r="L22" s="92">
        <v>0</v>
      </c>
      <c r="M22" s="92">
        <f>'1361'!H24</f>
        <v>0</v>
      </c>
      <c r="N22" s="92">
        <f>'1361'!I24</f>
        <v>0</v>
      </c>
      <c r="O22" s="80" t="str">
        <f t="shared" si="3"/>
        <v>%</v>
      </c>
      <c r="P22" s="99"/>
      <c r="Q22" s="96" t="e">
        <f>G22+L22+#REF!</f>
        <v>#REF!</v>
      </c>
      <c r="R22" s="92">
        <f>'1401'!H24</f>
        <v>0</v>
      </c>
      <c r="S22" s="92">
        <f>'1401'!I24</f>
        <v>0</v>
      </c>
      <c r="T22" s="80" t="str">
        <f t="shared" si="4"/>
        <v>%</v>
      </c>
      <c r="U22" s="77"/>
      <c r="V22" s="96" t="e">
        <f>L22+#REF!+Q22</f>
        <v>#REF!</v>
      </c>
      <c r="W22" s="92">
        <f>'1421'!H24</f>
        <v>0</v>
      </c>
      <c r="X22" s="92">
        <f>'1421'!I24</f>
        <v>0</v>
      </c>
      <c r="Y22" s="80" t="str">
        <f t="shared" si="5"/>
        <v>%</v>
      </c>
      <c r="Z22" s="78"/>
      <c r="AA22" s="96" t="e">
        <f>#REF!+Q22+V22</f>
        <v>#REF!</v>
      </c>
      <c r="AB22" s="92">
        <f>'1601'!H24</f>
        <v>0</v>
      </c>
      <c r="AC22" s="92">
        <f>'1601'!I24</f>
        <v>0</v>
      </c>
      <c r="AD22" s="80" t="str">
        <f t="shared" si="6"/>
        <v>%</v>
      </c>
      <c r="AE22" s="78"/>
      <c r="AF22" s="92">
        <v>0</v>
      </c>
      <c r="AG22" s="92">
        <f>'1621'!H24</f>
        <v>0</v>
      </c>
      <c r="AH22" s="96">
        <f>'1621'!I24</f>
        <v>0</v>
      </c>
      <c r="AI22" s="80" t="str">
        <f t="shared" si="7"/>
        <v>%</v>
      </c>
      <c r="AJ22" s="78"/>
      <c r="AK22" s="96" t="e">
        <f t="shared" si="8"/>
        <v>#REF!</v>
      </c>
      <c r="AL22" s="96">
        <f>'1721'!H24</f>
        <v>0</v>
      </c>
      <c r="AM22" s="96">
        <f>'1721'!I24</f>
        <v>275000</v>
      </c>
      <c r="AN22" s="80">
        <f t="shared" si="9"/>
        <v>0</v>
      </c>
      <c r="AO22" s="78"/>
      <c r="AP22" s="96" t="e">
        <f t="shared" si="10"/>
        <v>#REF!</v>
      </c>
      <c r="AQ22" s="96">
        <f>'9000'!H21</f>
        <v>365080.18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365080.18</v>
      </c>
      <c r="AW22" s="92">
        <f t="shared" si="2"/>
        <v>275000</v>
      </c>
      <c r="AX22" s="93">
        <f t="shared" si="13"/>
        <v>1.3275642909090908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5471.34</v>
      </c>
      <c r="AR24" s="96">
        <f>'9000'!I23</f>
        <v>30000</v>
      </c>
      <c r="AS24" s="80">
        <f t="shared" ref="AS24:AS29" si="22">IF(AR24=0,"%",AQ24/AR24)</f>
        <v>0.18237800000000001</v>
      </c>
      <c r="AT24" s="78"/>
      <c r="AU24" s="96" t="e">
        <f t="shared" ref="AU24:AU29" si="23">AF24+AK24+AP24</f>
        <v>#REF!</v>
      </c>
      <c r="AV24" s="92">
        <f t="shared" si="1"/>
        <v>5471.34</v>
      </c>
      <c r="AW24" s="92">
        <f t="shared" si="2"/>
        <v>30000</v>
      </c>
      <c r="AX24" s="93">
        <f t="shared" ref="AX24:AX29" si="24">IF(AW24=0,"%",AV24/AW24)</f>
        <v>0.18237800000000001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40480.300000000003</v>
      </c>
      <c r="I25" s="92">
        <f>'1351'!I25</f>
        <v>238542</v>
      </c>
      <c r="J25" s="93">
        <v>9.0909069878269397E-2</v>
      </c>
      <c r="K25" s="100"/>
      <c r="L25" s="92">
        <v>0</v>
      </c>
      <c r="M25" s="92">
        <f>'1361'!H27</f>
        <v>51028.12</v>
      </c>
      <c r="N25" s="92">
        <f>'1361'!I27</f>
        <v>299257</v>
      </c>
      <c r="O25" s="80">
        <f t="shared" si="14"/>
        <v>0.17051604473746645</v>
      </c>
      <c r="P25" s="101"/>
      <c r="Q25" s="96" t="e">
        <f>G25+L25+#REF!</f>
        <v>#REF!</v>
      </c>
      <c r="R25" s="92">
        <f>'1401'!H27</f>
        <v>35864.480000000003</v>
      </c>
      <c r="S25" s="92">
        <f>'1401'!I27</f>
        <v>208797</v>
      </c>
      <c r="T25" s="80">
        <f t="shared" si="15"/>
        <v>0.17176721887766588</v>
      </c>
      <c r="U25" s="77"/>
      <c r="V25" s="96" t="e">
        <f>L25+#REF!+Q25</f>
        <v>#REF!</v>
      </c>
      <c r="W25" s="92">
        <f>'1421'!H27</f>
        <v>36481.879999999997</v>
      </c>
      <c r="X25" s="92">
        <f>'1421'!I27</f>
        <v>208739</v>
      </c>
      <c r="Y25" s="80">
        <f t="shared" si="16"/>
        <v>0.17477270658573624</v>
      </c>
      <c r="Z25" s="78"/>
      <c r="AA25" s="96" t="e">
        <f>#REF!+Q25+V25</f>
        <v>#REF!</v>
      </c>
      <c r="AB25" s="92">
        <f>'1601'!H27</f>
        <v>49408.42</v>
      </c>
      <c r="AC25" s="92">
        <f>'1601'!I27</f>
        <v>271786</v>
      </c>
      <c r="AD25" s="80">
        <f t="shared" si="17"/>
        <v>0.1817916301796266</v>
      </c>
      <c r="AE25" s="78"/>
      <c r="AF25" s="92">
        <v>0</v>
      </c>
      <c r="AG25" s="92">
        <f>'1621'!H27</f>
        <v>58954.12</v>
      </c>
      <c r="AH25" s="96">
        <f>'1621'!I27</f>
        <v>312146</v>
      </c>
      <c r="AI25" s="80">
        <f t="shared" si="18"/>
        <v>0.18886713268790886</v>
      </c>
      <c r="AJ25" s="78"/>
      <c r="AK25" s="96" t="e">
        <f t="shared" si="19"/>
        <v>#REF!</v>
      </c>
      <c r="AL25" s="96">
        <f>'1721'!H27</f>
        <v>123141.56</v>
      </c>
      <c r="AM25" s="96">
        <f>'1721'!I27</f>
        <v>667276</v>
      </c>
      <c r="AN25" s="80">
        <f t="shared" si="20"/>
        <v>0.18454366708828129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395358.88</v>
      </c>
      <c r="AW25" s="92">
        <f t="shared" si="2"/>
        <v>2206543</v>
      </c>
      <c r="AX25" s="93">
        <f t="shared" si="24"/>
        <v>0.17917569700658451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0</v>
      </c>
      <c r="N27" s="92">
        <f>'1361'!I29</f>
        <v>0</v>
      </c>
      <c r="O27" s="80" t="str">
        <f t="shared" si="14"/>
        <v>%</v>
      </c>
      <c r="P27" s="101"/>
      <c r="Q27" s="96" t="e">
        <f>G27+L27+#REF!</f>
        <v>#REF!</v>
      </c>
      <c r="R27" s="92">
        <f>'1401'!H29</f>
        <v>0</v>
      </c>
      <c r="S27" s="92">
        <f>'1401'!I29</f>
        <v>0</v>
      </c>
      <c r="T27" s="80" t="str">
        <f t="shared" si="15"/>
        <v>%</v>
      </c>
      <c r="U27" s="77"/>
      <c r="V27" s="96" t="e">
        <f>L27+#REF!+Q27</f>
        <v>#REF!</v>
      </c>
      <c r="W27" s="92">
        <f>'1421'!H29</f>
        <v>0</v>
      </c>
      <c r="X27" s="92">
        <f>'1421'!I29</f>
        <v>0</v>
      </c>
      <c r="Y27" s="80" t="str">
        <f t="shared" si="16"/>
        <v>%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0</v>
      </c>
      <c r="AH27" s="96">
        <f>'1621'!I29</f>
        <v>13930</v>
      </c>
      <c r="AI27" s="80">
        <f t="shared" si="18"/>
        <v>0</v>
      </c>
      <c r="AJ27" s="78"/>
      <c r="AK27" s="96" t="e">
        <f t="shared" si="19"/>
        <v>#REF!</v>
      </c>
      <c r="AL27" s="96">
        <f>'1721'!H29</f>
        <v>0</v>
      </c>
      <c r="AM27" s="96">
        <f>'1721'!I29</f>
        <v>30000</v>
      </c>
      <c r="AN27" s="80">
        <f t="shared" si="20"/>
        <v>0</v>
      </c>
      <c r="AO27" s="78"/>
      <c r="AP27" s="96" t="e">
        <f t="shared" si="21"/>
        <v>#REF!</v>
      </c>
      <c r="AQ27" s="96">
        <f>'9000'!H26</f>
        <v>52.09</v>
      </c>
      <c r="AR27" s="96">
        <f>'9000'!I26</f>
        <v>20903</v>
      </c>
      <c r="AS27" s="80">
        <f t="shared" si="22"/>
        <v>2.4919867961536624E-3</v>
      </c>
      <c r="AT27" s="78"/>
      <c r="AU27" s="96" t="e">
        <f t="shared" si="23"/>
        <v>#REF!</v>
      </c>
      <c r="AV27" s="92">
        <f t="shared" si="1"/>
        <v>52.09</v>
      </c>
      <c r="AW27" s="92">
        <f t="shared" si="2"/>
        <v>64833</v>
      </c>
      <c r="AX27" s="93">
        <f t="shared" si="24"/>
        <v>8.0344886091959344E-4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0</v>
      </c>
      <c r="I28" s="92">
        <f>'1351'!I28</f>
        <v>0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0</v>
      </c>
      <c r="O28" s="80" t="str">
        <f t="shared" si="14"/>
        <v>%</v>
      </c>
      <c r="P28" s="101"/>
      <c r="Q28" s="96" t="e">
        <f>G28+L28+#REF!</f>
        <v>#REF!</v>
      </c>
      <c r="R28" s="92">
        <f>'1401'!H30</f>
        <v>0</v>
      </c>
      <c r="S28" s="92">
        <f>'1401'!I30</f>
        <v>10000</v>
      </c>
      <c r="T28" s="80">
        <f t="shared" si="15"/>
        <v>0</v>
      </c>
      <c r="U28" s="77"/>
      <c r="V28" s="96" t="e">
        <f>L28+#REF!+Q28</f>
        <v>#REF!</v>
      </c>
      <c r="W28" s="92">
        <f>'1421'!H30</f>
        <v>2999.49</v>
      </c>
      <c r="X28" s="92">
        <f>'1421'!I30</f>
        <v>12500</v>
      </c>
      <c r="Y28" s="80">
        <f t="shared" si="16"/>
        <v>0.23995919999999998</v>
      </c>
      <c r="Z28" s="78"/>
      <c r="AA28" s="96" t="e">
        <f>#REF!+Q28+V28</f>
        <v>#REF!</v>
      </c>
      <c r="AB28" s="92">
        <f>'1601'!H30</f>
        <v>0</v>
      </c>
      <c r="AC28" s="92">
        <f>'1601'!I30</f>
        <v>0</v>
      </c>
      <c r="AD28" s="80" t="str">
        <f t="shared" si="17"/>
        <v>%</v>
      </c>
      <c r="AE28" s="78"/>
      <c r="AF28" s="92">
        <v>0</v>
      </c>
      <c r="AG28" s="92">
        <f>'1621'!H30</f>
        <v>0</v>
      </c>
      <c r="AH28" s="96">
        <f>'1621'!I30</f>
        <v>4028</v>
      </c>
      <c r="AI28" s="80">
        <f t="shared" si="18"/>
        <v>0</v>
      </c>
      <c r="AJ28" s="78"/>
      <c r="AK28" s="96" t="e">
        <f t="shared" si="19"/>
        <v>#REF!</v>
      </c>
      <c r="AL28" s="96">
        <f>'1721'!H30</f>
        <v>2125</v>
      </c>
      <c r="AM28" s="96">
        <f>'1721'!I30</f>
        <v>120000</v>
      </c>
      <c r="AN28" s="80">
        <f t="shared" si="20"/>
        <v>1.7708333333333333E-2</v>
      </c>
      <c r="AO28" s="78"/>
      <c r="AP28" s="96" t="e">
        <f t="shared" si="21"/>
        <v>#REF!</v>
      </c>
      <c r="AQ28" s="96">
        <f>'9000'!H27</f>
        <v>5124.75</v>
      </c>
      <c r="AR28" s="96">
        <f>'9000'!I27</f>
        <v>235000</v>
      </c>
      <c r="AS28" s="80">
        <f t="shared" si="22"/>
        <v>2.1807446808510638E-2</v>
      </c>
      <c r="AT28" s="78"/>
      <c r="AU28" s="96" t="e">
        <f t="shared" si="23"/>
        <v>#REF!</v>
      </c>
      <c r="AV28" s="92">
        <f t="shared" si="1"/>
        <v>10249.24</v>
      </c>
      <c r="AW28" s="92">
        <f t="shared" si="2"/>
        <v>381528</v>
      </c>
      <c r="AX28" s="93">
        <f t="shared" si="24"/>
        <v>2.6863664003690422E-2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2.9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771036.59000000008</v>
      </c>
      <c r="I30" s="102">
        <f>SUM(I14:I29)</f>
        <v>4502585</v>
      </c>
      <c r="J30" s="103">
        <v>8.8403849620694447E-2</v>
      </c>
      <c r="K30" s="101"/>
      <c r="L30" s="102">
        <f>SUM(L14:L29)</f>
        <v>0</v>
      </c>
      <c r="M30" s="102">
        <f>SUM(M14:M29)</f>
        <v>963760.01</v>
      </c>
      <c r="N30" s="102">
        <f>SUM(N14:N29)</f>
        <v>5657487</v>
      </c>
      <c r="O30" s="103">
        <f>IF(N30=0,"",M30/N30)</f>
        <v>0.17035125489462016</v>
      </c>
      <c r="P30" s="101"/>
      <c r="Q30" s="102" t="e">
        <f>SUM(Q14:Q29)</f>
        <v>#REF!</v>
      </c>
      <c r="R30" s="102">
        <f>SUM(R14:R29)</f>
        <v>712483.04</v>
      </c>
      <c r="S30" s="102">
        <f>SUM(S14:S29)</f>
        <v>4216732</v>
      </c>
      <c r="T30" s="103">
        <f>IF(S30=0,"",R30/S30)</f>
        <v>0.16896569191497113</v>
      </c>
      <c r="U30" s="77"/>
      <c r="V30" s="102" t="e">
        <f>SUM(V14:V29)</f>
        <v>#REF!</v>
      </c>
      <c r="W30" s="102">
        <f>SUM(W14:W29)</f>
        <v>696796.49</v>
      </c>
      <c r="X30" s="102">
        <f>SUM(X14:X29)</f>
        <v>3990264</v>
      </c>
      <c r="Y30" s="103">
        <f>IF(X30=0,"",W30/X30)</f>
        <v>0.17462415769984141</v>
      </c>
      <c r="Z30" s="78"/>
      <c r="AA30" s="102" t="e">
        <f>SUM(AA14:AA29)</f>
        <v>#REF!</v>
      </c>
      <c r="AB30" s="102">
        <f>SUM(AB14:AB29)</f>
        <v>919916.00000000012</v>
      </c>
      <c r="AC30" s="102">
        <f>SUM(AC14:AC29)</f>
        <v>5388676</v>
      </c>
      <c r="AD30" s="103">
        <f>IF(AC30=0,"",AB30/AC30)</f>
        <v>0.17071280589146576</v>
      </c>
      <c r="AE30" s="78"/>
      <c r="AF30" s="102">
        <f>SUM(AF14:AF29)</f>
        <v>0</v>
      </c>
      <c r="AG30" s="102">
        <f>SUM(AG14:AG29)</f>
        <v>1094973.47</v>
      </c>
      <c r="AH30" s="102">
        <f>SUM(AH14:AH29)</f>
        <v>6106236</v>
      </c>
      <c r="AI30" s="103">
        <f>IF(AH30=0,"",AG30/AH30)</f>
        <v>0.17932052904604406</v>
      </c>
      <c r="AJ30" s="78"/>
      <c r="AK30" s="102" t="e">
        <f>SUM(AK14:AK29)</f>
        <v>#REF!</v>
      </c>
      <c r="AL30" s="102">
        <f>SUM(AL14:AL29)</f>
        <v>2208245.96</v>
      </c>
      <c r="AM30" s="102">
        <f>SUM(AM14:AM29)</f>
        <v>13328003</v>
      </c>
      <c r="AN30" s="103">
        <f>IF(AM30=0,"",AL30/AM30)</f>
        <v>0.16568468359438393</v>
      </c>
      <c r="AO30" s="78"/>
      <c r="AP30" s="102" t="e">
        <f>SUM(AP14:AP29)</f>
        <v>#REF!</v>
      </c>
      <c r="AQ30" s="102">
        <f>SUM(AQ14:AQ29)</f>
        <v>601615.64999999991</v>
      </c>
      <c r="AR30" s="102">
        <f>SUM(AR14:AR29)</f>
        <v>3269962.6</v>
      </c>
      <c r="AS30" s="103">
        <f>IF(AR30=0,"",AQ30/AR30)</f>
        <v>0.18398242536474266</v>
      </c>
      <c r="AT30" s="78"/>
      <c r="AU30" s="102" t="e">
        <f>SUM(AU14:AU29)</f>
        <v>#REF!</v>
      </c>
      <c r="AV30" s="118">
        <f>SUM(AV14:AV29)</f>
        <v>7968827.21</v>
      </c>
      <c r="AW30" s="118">
        <f>SUM(AW14:AW29)</f>
        <v>46459945.600000001</v>
      </c>
      <c r="AX30" s="119">
        <f>IF(AW30=0,"",AV30/AW30)</f>
        <v>0.1715203732395244</v>
      </c>
    </row>
    <row r="31" spans="1:50" ht="13.9" customHeight="1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274169.8899999999</v>
      </c>
      <c r="I34" s="92">
        <f>'1351'!I34</f>
        <v>3036242.41</v>
      </c>
      <c r="J34" s="80">
        <v>5.4045228213744027E-3</v>
      </c>
      <c r="K34" s="101"/>
      <c r="L34" s="92">
        <v>6193.79</v>
      </c>
      <c r="M34" s="92">
        <f>'1361'!H36</f>
        <v>348826.52999999991</v>
      </c>
      <c r="N34" s="92">
        <f>'1361'!I36</f>
        <v>3990635.8399999994</v>
      </c>
      <c r="O34" s="80">
        <f t="shared" ref="O34:O48" si="25">IF(N34=0,"%",M34/N34)</f>
        <v>8.7411265769617302E-2</v>
      </c>
      <c r="P34" s="101"/>
      <c r="Q34" s="96" t="e">
        <f>G34+L34+#REF!</f>
        <v>#REF!</v>
      </c>
      <c r="R34" s="92">
        <f>'1401'!H36</f>
        <v>251024.97000000006</v>
      </c>
      <c r="S34" s="92">
        <f>'1401'!I36</f>
        <v>3073127.68</v>
      </c>
      <c r="T34" s="80">
        <f t="shared" ref="T34:T49" si="26">IF(S34=0,"%",R34/S34)</f>
        <v>8.1683872633629084E-2</v>
      </c>
      <c r="U34" s="77"/>
      <c r="V34" s="96" t="e">
        <f>L34+#REF!+Q34</f>
        <v>#REF!</v>
      </c>
      <c r="W34" s="92">
        <f>'1421'!H36</f>
        <v>249688.96000000002</v>
      </c>
      <c r="X34" s="92">
        <f>'1421'!I36</f>
        <v>2976272.8</v>
      </c>
      <c r="Y34" s="80">
        <f t="shared" ref="Y34:Y49" si="27">IF(X34=0,"%",W34/X34)</f>
        <v>8.3893170007803067E-2</v>
      </c>
      <c r="Z34" s="78"/>
      <c r="AA34" s="96" t="e">
        <f>#REF!+Q34+V34</f>
        <v>#REF!</v>
      </c>
      <c r="AB34" s="92">
        <f>'1601'!H36</f>
        <v>269639.41000000009</v>
      </c>
      <c r="AC34" s="92">
        <f>'1601'!I36</f>
        <v>3193675.5599999996</v>
      </c>
      <c r="AD34" s="80">
        <f t="shared" ref="AD34:AD49" si="28">IF(AC34=0,"%",AB34/AC34)</f>
        <v>8.4429180401781365E-2</v>
      </c>
      <c r="AE34" s="78"/>
      <c r="AF34" s="92">
        <v>0</v>
      </c>
      <c r="AG34" s="92">
        <f>'1621'!H37</f>
        <v>314764.62000000005</v>
      </c>
      <c r="AH34" s="96">
        <f>'1621'!I37</f>
        <v>3601966.5600000005</v>
      </c>
      <c r="AI34" s="80">
        <f t="shared" ref="AI34:AI49" si="29">IF(AH34=0,"%",AG34/AH34)</f>
        <v>8.7386880126949326E-2</v>
      </c>
      <c r="AJ34" s="78"/>
      <c r="AK34" s="96" t="e">
        <f t="shared" ref="AK34:AK49" si="30">V34+AA34+AF34</f>
        <v>#REF!</v>
      </c>
      <c r="AL34" s="96">
        <f>'1721'!H36</f>
        <v>1131852.5399999993</v>
      </c>
      <c r="AM34" s="96">
        <f>'1721'!I36</f>
        <v>7965987.2800000012</v>
      </c>
      <c r="AN34" s="80">
        <f t="shared" ref="AN34:AN49" si="31">IF(AM34=0,"%",AL34/AM34)</f>
        <v>0.14208565746040197</v>
      </c>
      <c r="AO34" s="78"/>
      <c r="AP34" s="96" t="e">
        <f t="shared" ref="AP34:AP49" si="32">AA34+AF34+AK34</f>
        <v>#REF!</v>
      </c>
      <c r="AQ34" s="96">
        <f>'9000'!H33</f>
        <v>0</v>
      </c>
      <c r="AR34" s="96">
        <f>'9000'!I33</f>
        <v>37275</v>
      </c>
      <c r="AS34" s="80">
        <f t="shared" ref="AS34:AS48" si="33">IF(AR34=0,"%",AQ34/AR34)</f>
        <v>0</v>
      </c>
      <c r="AT34" s="78"/>
      <c r="AU34" s="96" t="e">
        <f t="shared" ref="AU34:AU49" si="34">AF34+AK34+AP34</f>
        <v>#REF!</v>
      </c>
      <c r="AV34" s="92">
        <f>H34+M34+R34+W34+AB34+AG34+AL34+AQ34</f>
        <v>2839966.9199999995</v>
      </c>
      <c r="AW34" s="92">
        <f>I34+N34+S34+X34+AC34+AH34+AM34+AR34</f>
        <v>27875183.130000003</v>
      </c>
      <c r="AX34" s="93">
        <f t="shared" ref="AX34:AX48" si="35">IF(AW34=0,"%",AV34/AW34)</f>
        <v>0.10188155201547547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13877.22</v>
      </c>
      <c r="I35" s="92">
        <f>'1351'!I35</f>
        <v>168501.10000000003</v>
      </c>
      <c r="J35" s="80">
        <v>8.8888260133120804E-4</v>
      </c>
      <c r="K35" s="101"/>
      <c r="L35" s="92">
        <v>73225</v>
      </c>
      <c r="M35" s="92">
        <f>'1361'!H37</f>
        <v>28401.65</v>
      </c>
      <c r="N35" s="92">
        <f>'1361'!I37</f>
        <v>313432.13999999996</v>
      </c>
      <c r="O35" s="80">
        <f t="shared" si="25"/>
        <v>9.061498926051427E-2</v>
      </c>
      <c r="P35" s="101"/>
      <c r="Q35" s="96" t="e">
        <f>G35+L35+#REF!</f>
        <v>#REF!</v>
      </c>
      <c r="R35" s="92">
        <f>'1401'!H37</f>
        <v>17872.71</v>
      </c>
      <c r="S35" s="92">
        <f>'1401'!I37</f>
        <v>179204.15</v>
      </c>
      <c r="T35" s="80">
        <f t="shared" si="26"/>
        <v>9.9733795227398475E-2</v>
      </c>
      <c r="U35" s="77"/>
      <c r="V35" s="96" t="e">
        <f>L35+#REF!+Q35</f>
        <v>#REF!</v>
      </c>
      <c r="W35" s="92">
        <f>'1421'!H37</f>
        <v>20530.5</v>
      </c>
      <c r="X35" s="92">
        <f>'1421'!I37</f>
        <v>213223.19</v>
      </c>
      <c r="Y35" s="80">
        <f t="shared" si="27"/>
        <v>9.6286431133499134E-2</v>
      </c>
      <c r="Z35" s="78"/>
      <c r="AA35" s="96" t="e">
        <f>#REF!+Q35+V35</f>
        <v>#REF!</v>
      </c>
      <c r="AB35" s="92">
        <f>'1601'!H37</f>
        <v>17106.469999999998</v>
      </c>
      <c r="AC35" s="92">
        <f>'1601'!I37</f>
        <v>150390.69999999998</v>
      </c>
      <c r="AD35" s="80">
        <f t="shared" si="28"/>
        <v>0.11374686067689026</v>
      </c>
      <c r="AE35" s="78"/>
      <c r="AF35" s="92">
        <v>0</v>
      </c>
      <c r="AG35" s="92">
        <f>'1621'!H38</f>
        <v>6861</v>
      </c>
      <c r="AH35" s="96">
        <f>'1621'!I38</f>
        <v>79216.110000000015</v>
      </c>
      <c r="AI35" s="80">
        <f t="shared" si="29"/>
        <v>8.6611170379358421E-2</v>
      </c>
      <c r="AJ35" s="78"/>
      <c r="AK35" s="96" t="e">
        <f t="shared" si="30"/>
        <v>#REF!</v>
      </c>
      <c r="AL35" s="96">
        <f>'1721'!H37</f>
        <v>66665.849999999991</v>
      </c>
      <c r="AM35" s="96">
        <f>'1721'!I37</f>
        <v>705621.67999999982</v>
      </c>
      <c r="AN35" s="80">
        <f t="shared" si="31"/>
        <v>9.4478177031068561E-2</v>
      </c>
      <c r="AO35" s="78"/>
      <c r="AP35" s="96" t="e">
        <f t="shared" si="32"/>
        <v>#REF!</v>
      </c>
      <c r="AQ35" s="96">
        <f>'9000'!H34</f>
        <v>166165.35000000003</v>
      </c>
      <c r="AR35" s="96">
        <f>'9000'!I34</f>
        <v>1003215.7899999999</v>
      </c>
      <c r="AS35" s="80">
        <f t="shared" si="33"/>
        <v>0.1656327099875492</v>
      </c>
      <c r="AT35" s="78"/>
      <c r="AU35" s="96" t="e">
        <f t="shared" si="34"/>
        <v>#REF!</v>
      </c>
      <c r="AV35" s="92">
        <f t="shared" ref="AV35:AV49" si="36">H35+M35+R35+W35+AB35+AG35+AL35+AQ35</f>
        <v>337480.75</v>
      </c>
      <c r="AW35" s="92">
        <f t="shared" ref="AW35:AW49" si="37">I35+N35+S35+X35+AC35+AH35+AM35+AR35</f>
        <v>2812804.86</v>
      </c>
      <c r="AX35" s="93">
        <f t="shared" si="35"/>
        <v>0.11998015034715206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0</v>
      </c>
      <c r="I36" s="92">
        <f>'1351'!I36</f>
        <v>18000</v>
      </c>
      <c r="J36" s="80">
        <v>0</v>
      </c>
      <c r="K36" s="101"/>
      <c r="L36" s="96">
        <v>0</v>
      </c>
      <c r="M36" s="92">
        <f>'1361'!H38</f>
        <v>0</v>
      </c>
      <c r="N36" s="92">
        <f>'1361'!I38</f>
        <v>18000</v>
      </c>
      <c r="O36" s="80">
        <f t="shared" si="25"/>
        <v>0</v>
      </c>
      <c r="P36" s="101"/>
      <c r="Q36" s="96" t="e">
        <f>G36+L36+#REF!</f>
        <v>#REF!</v>
      </c>
      <c r="R36" s="92">
        <f>'1401'!H38</f>
        <v>0</v>
      </c>
      <c r="S36" s="92">
        <f>'1401'!I38</f>
        <v>18000</v>
      </c>
      <c r="T36" s="80">
        <f t="shared" si="26"/>
        <v>0</v>
      </c>
      <c r="U36" s="77"/>
      <c r="V36" s="96" t="e">
        <f>L36+#REF!+Q36</f>
        <v>#REF!</v>
      </c>
      <c r="W36" s="92">
        <f>'1421'!H38</f>
        <v>0</v>
      </c>
      <c r="X36" s="92">
        <f>'1421'!I38</f>
        <v>18000</v>
      </c>
      <c r="Y36" s="80">
        <f t="shared" si="27"/>
        <v>0</v>
      </c>
      <c r="Z36" s="78"/>
      <c r="AA36" s="96" t="e">
        <f>#REF!+Q36+V36</f>
        <v>#REF!</v>
      </c>
      <c r="AB36" s="92">
        <f>'1601'!H38</f>
        <v>0</v>
      </c>
      <c r="AC36" s="92">
        <f>'1601'!I38</f>
        <v>18000</v>
      </c>
      <c r="AD36" s="80">
        <f t="shared" si="28"/>
        <v>0</v>
      </c>
      <c r="AE36" s="78"/>
      <c r="AF36" s="92">
        <v>0</v>
      </c>
      <c r="AG36" s="92">
        <f>'1621'!H39</f>
        <v>0</v>
      </c>
      <c r="AH36" s="96">
        <f>'1621'!I39</f>
        <v>18000</v>
      </c>
      <c r="AI36" s="80">
        <f t="shared" si="29"/>
        <v>0</v>
      </c>
      <c r="AJ36" s="78"/>
      <c r="AK36" s="96" t="e">
        <f t="shared" si="30"/>
        <v>#REF!</v>
      </c>
      <c r="AL36" s="96">
        <f>'1721'!H38</f>
        <v>0</v>
      </c>
      <c r="AM36" s="96">
        <f>'1721'!I38</f>
        <v>25000</v>
      </c>
      <c r="AN36" s="80">
        <f t="shared" si="31"/>
        <v>0</v>
      </c>
      <c r="AO36" s="78"/>
      <c r="AP36" s="96" t="e">
        <f t="shared" si="32"/>
        <v>#REF!</v>
      </c>
      <c r="AQ36" s="96">
        <f>'9000'!H35</f>
        <v>481.8</v>
      </c>
      <c r="AR36" s="96">
        <f>'9000'!I35</f>
        <v>165500</v>
      </c>
      <c r="AS36" s="80">
        <f t="shared" si="33"/>
        <v>2.9111782477341391E-3</v>
      </c>
      <c r="AT36" s="78"/>
      <c r="AU36" s="96" t="e">
        <f t="shared" si="34"/>
        <v>#REF!</v>
      </c>
      <c r="AV36" s="92">
        <f t="shared" si="36"/>
        <v>481.8</v>
      </c>
      <c r="AW36" s="92">
        <f t="shared" si="37"/>
        <v>298500</v>
      </c>
      <c r="AX36" s="93">
        <f t="shared" si="35"/>
        <v>1.614070351758794E-3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87493.000000000015</v>
      </c>
      <c r="AR37" s="96">
        <f>'9000'!I36</f>
        <v>435982.26000000007</v>
      </c>
      <c r="AS37" s="80">
        <f t="shared" si="33"/>
        <v>0.20068018363866458</v>
      </c>
      <c r="AT37" s="78"/>
      <c r="AU37" s="96" t="e">
        <f t="shared" si="34"/>
        <v>#REF!</v>
      </c>
      <c r="AV37" s="92">
        <f t="shared" si="36"/>
        <v>87493.000000000015</v>
      </c>
      <c r="AW37" s="92">
        <f t="shared" si="37"/>
        <v>435982.26000000007</v>
      </c>
      <c r="AX37" s="93">
        <f t="shared" si="35"/>
        <v>0.20068018363866458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75674.740000000005</v>
      </c>
      <c r="I38" s="92">
        <f>'1351'!I38</f>
        <v>475535.99</v>
      </c>
      <c r="J38" s="80">
        <v>8.6510148841973694E-2</v>
      </c>
      <c r="K38" s="101"/>
      <c r="L38" s="96">
        <v>0</v>
      </c>
      <c r="M38" s="92">
        <f>'1361'!H40</f>
        <v>77113.41</v>
      </c>
      <c r="N38" s="92">
        <f>'1361'!I40</f>
        <v>456735.28000000009</v>
      </c>
      <c r="O38" s="80">
        <f t="shared" si="25"/>
        <v>0.16883611443372623</v>
      </c>
      <c r="P38" s="101"/>
      <c r="Q38" s="96" t="e">
        <f>G38+L38+#REF!</f>
        <v>#REF!</v>
      </c>
      <c r="R38" s="92">
        <f>'1401'!H40</f>
        <v>59354.790000000008</v>
      </c>
      <c r="S38" s="92">
        <f>'1401'!I40</f>
        <v>374553.25000000006</v>
      </c>
      <c r="T38" s="80">
        <f t="shared" si="26"/>
        <v>0.15846822848286593</v>
      </c>
      <c r="U38" s="77"/>
      <c r="V38" s="96" t="e">
        <f>L38+#REF!+Q38</f>
        <v>#REF!</v>
      </c>
      <c r="W38" s="92">
        <f>'1421'!H40</f>
        <v>70318.459999999992</v>
      </c>
      <c r="X38" s="92">
        <f>'1421'!I40</f>
        <v>422021.50000000006</v>
      </c>
      <c r="Y38" s="80">
        <f t="shared" si="27"/>
        <v>0.16662293271788281</v>
      </c>
      <c r="Z38" s="78"/>
      <c r="AA38" s="96" t="e">
        <f>#REF!+Q38+V38</f>
        <v>#REF!</v>
      </c>
      <c r="AB38" s="92">
        <f>'1601'!H40</f>
        <v>93217.660000000018</v>
      </c>
      <c r="AC38" s="92">
        <f>'1601'!I40</f>
        <v>679426.91999999993</v>
      </c>
      <c r="AD38" s="80">
        <f t="shared" si="28"/>
        <v>0.13720042179076453</v>
      </c>
      <c r="AE38" s="78"/>
      <c r="AF38" s="92">
        <v>0</v>
      </c>
      <c r="AG38" s="92">
        <f>'1621'!H41</f>
        <v>102062.43</v>
      </c>
      <c r="AH38" s="96">
        <f>'1621'!I41</f>
        <v>705628.09</v>
      </c>
      <c r="AI38" s="80">
        <f t="shared" si="29"/>
        <v>0.14464054286727729</v>
      </c>
      <c r="AJ38" s="78"/>
      <c r="AK38" s="96" t="e">
        <f t="shared" si="30"/>
        <v>#REF!</v>
      </c>
      <c r="AL38" s="96">
        <f>'1721'!H40</f>
        <v>198123.27000000002</v>
      </c>
      <c r="AM38" s="96">
        <f>'1721'!I40</f>
        <v>1286338.8699999999</v>
      </c>
      <c r="AN38" s="80">
        <f t="shared" si="31"/>
        <v>0.15402105512056868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675864.76</v>
      </c>
      <c r="AW38" s="92">
        <f t="shared" si="37"/>
        <v>4400239.8999999994</v>
      </c>
      <c r="AX38" s="93">
        <f t="shared" si="35"/>
        <v>0.15359725273160676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3849.99</v>
      </c>
      <c r="I40" s="92">
        <f>'1351'!I40</f>
        <v>20670</v>
      </c>
      <c r="J40" s="80">
        <v>9.4010751153608296E-2</v>
      </c>
      <c r="K40" s="101"/>
      <c r="L40" s="96">
        <v>0</v>
      </c>
      <c r="M40" s="92">
        <f>'1361'!H42</f>
        <v>4852.75</v>
      </c>
      <c r="N40" s="92">
        <f>'1361'!I42</f>
        <v>26169</v>
      </c>
      <c r="O40" s="80">
        <f t="shared" si="25"/>
        <v>0.18543887806182888</v>
      </c>
      <c r="P40" s="101"/>
      <c r="Q40" s="96" t="e">
        <f>G40+L40+#REF!</f>
        <v>#REF!</v>
      </c>
      <c r="R40" s="92">
        <f>'1401'!H42</f>
        <v>3410.82</v>
      </c>
      <c r="S40" s="92">
        <f>'1401'!I42</f>
        <v>18135</v>
      </c>
      <c r="T40" s="80">
        <f t="shared" si="26"/>
        <v>0.18807940446650126</v>
      </c>
      <c r="U40" s="77"/>
      <c r="V40" s="96" t="e">
        <f>L40+#REF!+Q40</f>
        <v>#REF!</v>
      </c>
      <c r="W40" s="92">
        <f>'1421'!H42</f>
        <v>3469.39</v>
      </c>
      <c r="X40" s="92">
        <f>'1421'!I42</f>
        <v>18369</v>
      </c>
      <c r="Y40" s="80">
        <f t="shared" si="27"/>
        <v>0.18887201262997441</v>
      </c>
      <c r="Z40" s="78"/>
      <c r="AA40" s="96" t="e">
        <f>#REF!+Q40+V40</f>
        <v>#REF!</v>
      </c>
      <c r="AB40" s="92">
        <f>'1601'!H42</f>
        <v>4699.04</v>
      </c>
      <c r="AC40" s="92">
        <f>'1601'!I42</f>
        <v>25467</v>
      </c>
      <c r="AD40" s="80">
        <f t="shared" si="28"/>
        <v>0.18451486237091139</v>
      </c>
      <c r="AE40" s="78"/>
      <c r="AF40" s="92">
        <v>0</v>
      </c>
      <c r="AG40" s="92">
        <f>'1621'!H43</f>
        <v>5606.65</v>
      </c>
      <c r="AH40" s="96">
        <f>'1621'!I43</f>
        <v>29250</v>
      </c>
      <c r="AI40" s="80">
        <f t="shared" si="29"/>
        <v>0.19168034188034186</v>
      </c>
      <c r="AJ40" s="78"/>
      <c r="AK40" s="96" t="e">
        <f t="shared" si="30"/>
        <v>#REF!</v>
      </c>
      <c r="AL40" s="96">
        <f>'1721'!H42</f>
        <v>11711</v>
      </c>
      <c r="AM40" s="96">
        <f>'1721'!I42</f>
        <v>62790</v>
      </c>
      <c r="AN40" s="80">
        <f t="shared" si="31"/>
        <v>0.18651059085841695</v>
      </c>
      <c r="AO40" s="78"/>
      <c r="AP40" s="96" t="e">
        <f t="shared" si="32"/>
        <v>#REF!</v>
      </c>
      <c r="AQ40" s="96">
        <f>'9000'!H39</f>
        <v>105522.78</v>
      </c>
      <c r="AR40" s="96">
        <f>'9000'!I39</f>
        <v>643830.44000000006</v>
      </c>
      <c r="AS40" s="80">
        <f t="shared" si="33"/>
        <v>0.16389840157293586</v>
      </c>
      <c r="AT40" s="78"/>
      <c r="AU40" s="96" t="e">
        <f t="shared" si="34"/>
        <v>#REF!</v>
      </c>
      <c r="AV40" s="92">
        <f t="shared" si="36"/>
        <v>143122.41999999998</v>
      </c>
      <c r="AW40" s="92">
        <f t="shared" si="37"/>
        <v>844680.44000000006</v>
      </c>
      <c r="AX40" s="93">
        <f t="shared" si="35"/>
        <v>0.16943972326386531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4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35394.400000000001</v>
      </c>
      <c r="AR42" s="96">
        <f>'9000'!I41</f>
        <v>225265.93</v>
      </c>
      <c r="AS42" s="80">
        <f t="shared" si="33"/>
        <v>0.15712273933301854</v>
      </c>
      <c r="AT42" s="78"/>
      <c r="AU42" s="96" t="e">
        <f t="shared" si="34"/>
        <v>#REF!</v>
      </c>
      <c r="AV42" s="92">
        <f t="shared" si="36"/>
        <v>35394.400000000001</v>
      </c>
      <c r="AW42" s="92">
        <f t="shared" si="37"/>
        <v>225269.93</v>
      </c>
      <c r="AX42" s="93">
        <f t="shared" si="35"/>
        <v>0.15711994938694215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0</v>
      </c>
      <c r="AC43" s="92">
        <f>'1601'!I45</f>
        <v>1500</v>
      </c>
      <c r="AD43" s="80">
        <f t="shared" si="28"/>
        <v>0</v>
      </c>
      <c r="AE43" s="78"/>
      <c r="AF43" s="92">
        <v>0</v>
      </c>
      <c r="AG43" s="92">
        <f>'1621'!H46</f>
        <v>0</v>
      </c>
      <c r="AH43" s="96">
        <f>'1621'!I46</f>
        <v>7000</v>
      </c>
      <c r="AI43" s="80">
        <f t="shared" si="29"/>
        <v>0</v>
      </c>
      <c r="AJ43" s="78"/>
      <c r="AK43" s="96" t="e">
        <f t="shared" si="30"/>
        <v>#REF!</v>
      </c>
      <c r="AL43" s="96">
        <f>'1721'!H45</f>
        <v>5124.75</v>
      </c>
      <c r="AM43" s="96">
        <f>'1721'!I45</f>
        <v>91000</v>
      </c>
      <c r="AN43" s="80">
        <f t="shared" si="31"/>
        <v>5.6315934065934069E-2</v>
      </c>
      <c r="AO43" s="78"/>
      <c r="AP43" s="96" t="e">
        <f t="shared" si="32"/>
        <v>#REF!</v>
      </c>
      <c r="AQ43" s="96">
        <f>'9000'!H42</f>
        <v>326477.39999999997</v>
      </c>
      <c r="AR43" s="96">
        <f>'9000'!I42</f>
        <v>2431739.6</v>
      </c>
      <c r="AS43" s="80">
        <f t="shared" si="33"/>
        <v>0.13425672715943762</v>
      </c>
      <c r="AT43" s="78"/>
      <c r="AU43" s="96" t="e">
        <f t="shared" si="34"/>
        <v>#REF!</v>
      </c>
      <c r="AV43" s="92">
        <f t="shared" si="36"/>
        <v>331602.14999999997</v>
      </c>
      <c r="AW43" s="92">
        <f t="shared" si="37"/>
        <v>2531239.6</v>
      </c>
      <c r="AX43" s="93">
        <f t="shared" si="35"/>
        <v>0.13100385676646334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82379.72</v>
      </c>
      <c r="I44" s="92">
        <f>'1351'!I44</f>
        <v>407399.33999999997</v>
      </c>
      <c r="J44" s="80">
        <v>0.19245437155909917</v>
      </c>
      <c r="K44" s="101"/>
      <c r="L44" s="96">
        <v>0</v>
      </c>
      <c r="M44" s="92">
        <f>'1361'!H46</f>
        <v>88581.010000000009</v>
      </c>
      <c r="N44" s="92">
        <f>'1361'!I46</f>
        <v>481862.5</v>
      </c>
      <c r="O44" s="80">
        <f t="shared" si="25"/>
        <v>0.18383047031051392</v>
      </c>
      <c r="P44" s="101"/>
      <c r="Q44" s="96" t="e">
        <f>G44+L44+#REF!</f>
        <v>#REF!</v>
      </c>
      <c r="R44" s="92">
        <f>'1401'!H46</f>
        <v>101053.8</v>
      </c>
      <c r="S44" s="92">
        <f>'1401'!I46</f>
        <v>447746.95</v>
      </c>
      <c r="T44" s="80">
        <f t="shared" si="26"/>
        <v>0.22569399970228721</v>
      </c>
      <c r="U44" s="77"/>
      <c r="V44" s="96" t="e">
        <f>L44+#REF!+Q44</f>
        <v>#REF!</v>
      </c>
      <c r="W44" s="92">
        <f>'1421'!H46</f>
        <v>81778.339999999967</v>
      </c>
      <c r="X44" s="92">
        <f>'1421'!I46</f>
        <v>339275.4</v>
      </c>
      <c r="Y44" s="80">
        <f t="shared" si="27"/>
        <v>0.24103822440412703</v>
      </c>
      <c r="Z44" s="78"/>
      <c r="AA44" s="96" t="e">
        <f>#REF!+Q44+V44</f>
        <v>#REF!</v>
      </c>
      <c r="AB44" s="92">
        <f>'1601'!H46</f>
        <v>198512.82999999996</v>
      </c>
      <c r="AC44" s="92">
        <f>'1601'!I46</f>
        <v>468881.95</v>
      </c>
      <c r="AD44" s="80">
        <f t="shared" si="28"/>
        <v>0.42337486013270492</v>
      </c>
      <c r="AE44" s="78"/>
      <c r="AF44" s="92">
        <v>0</v>
      </c>
      <c r="AG44" s="92">
        <f>'1621'!H47</f>
        <v>219336.41999999998</v>
      </c>
      <c r="AH44" s="96">
        <f>'1621'!I47</f>
        <v>657112.75</v>
      </c>
      <c r="AI44" s="80">
        <f t="shared" si="29"/>
        <v>0.33378810561809974</v>
      </c>
      <c r="AJ44" s="78"/>
      <c r="AK44" s="96" t="e">
        <f t="shared" si="30"/>
        <v>#REF!</v>
      </c>
      <c r="AL44" s="96">
        <f>'1721'!H46</f>
        <v>237218.19</v>
      </c>
      <c r="AM44" s="96">
        <f>'1721'!I46</f>
        <v>1310724.3999999999</v>
      </c>
      <c r="AN44" s="80">
        <f t="shared" si="31"/>
        <v>0.18098250860363935</v>
      </c>
      <c r="AO44" s="78"/>
      <c r="AP44" s="96" t="e">
        <f t="shared" si="32"/>
        <v>#REF!</v>
      </c>
      <c r="AQ44" s="96">
        <f>'9000'!H43</f>
        <v>98406.749999999985</v>
      </c>
      <c r="AR44" s="96">
        <f>'9000'!I43</f>
        <v>150901</v>
      </c>
      <c r="AS44" s="80">
        <f t="shared" si="33"/>
        <v>0.65212788516974696</v>
      </c>
      <c r="AT44" s="78"/>
      <c r="AU44" s="96" t="e">
        <f t="shared" si="34"/>
        <v>#REF!</v>
      </c>
      <c r="AV44" s="92">
        <f t="shared" si="36"/>
        <v>1107267.0599999998</v>
      </c>
      <c r="AW44" s="92">
        <f t="shared" si="37"/>
        <v>4263904.29</v>
      </c>
      <c r="AX44" s="93">
        <f t="shared" si="35"/>
        <v>0.25968384482663887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21148.98</v>
      </c>
      <c r="N45" s="92">
        <f>'1361'!I47</f>
        <v>0</v>
      </c>
      <c r="O45" s="80" t="str">
        <f t="shared" si="25"/>
        <v>%</v>
      </c>
      <c r="P45" s="101"/>
      <c r="Q45" s="96" t="e">
        <f>G45+L45+#REF!</f>
        <v>#REF!</v>
      </c>
      <c r="R45" s="92">
        <f>'1401'!H47</f>
        <v>0</v>
      </c>
      <c r="S45" s="92">
        <f>'1401'!I47</f>
        <v>2500</v>
      </c>
      <c r="T45" s="80">
        <f t="shared" si="26"/>
        <v>0</v>
      </c>
      <c r="U45" s="77"/>
      <c r="V45" s="96" t="e">
        <f>L45+#REF!+Q45</f>
        <v>#REF!</v>
      </c>
      <c r="W45" s="92">
        <f>'1421'!H47</f>
        <v>3750</v>
      </c>
      <c r="X45" s="92">
        <f>'1421'!I47</f>
        <v>0</v>
      </c>
      <c r="Y45" s="80" t="str">
        <f t="shared" si="27"/>
        <v>%</v>
      </c>
      <c r="Z45" s="78"/>
      <c r="AA45" s="96" t="e">
        <f>#REF!+Q45+V45</f>
        <v>#REF!</v>
      </c>
      <c r="AB45" s="92">
        <f>'1601'!H47</f>
        <v>0</v>
      </c>
      <c r="AC45" s="92">
        <f>'1601'!I47</f>
        <v>0</v>
      </c>
      <c r="AD45" s="80" t="str">
        <f t="shared" si="28"/>
        <v>%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24898.98</v>
      </c>
      <c r="AW45" s="92">
        <f t="shared" si="37"/>
        <v>2500</v>
      </c>
      <c r="AX45" s="93">
        <f t="shared" si="35"/>
        <v>9.9595920000000007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0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0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30851.23</v>
      </c>
      <c r="AR46" s="96">
        <f>'9000'!I45</f>
        <v>166894.59999999998</v>
      </c>
      <c r="AS46" s="80">
        <f t="shared" si="33"/>
        <v>0.18485457288612098</v>
      </c>
      <c r="AT46" s="78"/>
      <c r="AU46" s="96" t="e">
        <f t="shared" si="34"/>
        <v>#REF!</v>
      </c>
      <c r="AV46" s="92">
        <f t="shared" si="36"/>
        <v>30851.23</v>
      </c>
      <c r="AW46" s="92">
        <f t="shared" si="37"/>
        <v>166894.59999999998</v>
      </c>
      <c r="AX46" s="93">
        <f t="shared" si="35"/>
        <v>0.18485457288612098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0</v>
      </c>
      <c r="AC47" s="92">
        <f>'1601'!I49</f>
        <v>4882</v>
      </c>
      <c r="AD47" s="80">
        <f t="shared" si="28"/>
        <v>0</v>
      </c>
      <c r="AE47" s="78"/>
      <c r="AF47" s="92">
        <v>0</v>
      </c>
      <c r="AG47" s="92">
        <f>'1621'!H50</f>
        <v>0</v>
      </c>
      <c r="AH47" s="96">
        <f>'1621'!I50</f>
        <v>32762.5</v>
      </c>
      <c r="AI47" s="80">
        <f t="shared" si="29"/>
        <v>0</v>
      </c>
      <c r="AJ47" s="78"/>
      <c r="AK47" s="96" t="e">
        <f t="shared" si="30"/>
        <v>#REF!</v>
      </c>
      <c r="AL47" s="96">
        <f>'1721'!H49</f>
        <v>57458.189999999995</v>
      </c>
      <c r="AM47" s="96">
        <f>'1721'!I49</f>
        <v>687285.22</v>
      </c>
      <c r="AN47" s="80">
        <f t="shared" si="31"/>
        <v>8.3601666859648163E-2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57458.189999999995</v>
      </c>
      <c r="AW47" s="92">
        <f t="shared" si="37"/>
        <v>724929.72</v>
      </c>
      <c r="AX47" s="93">
        <f t="shared" si="35"/>
        <v>7.9260359197302593E-2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58502.409999999996</v>
      </c>
      <c r="AR48" s="96">
        <f>'9000'!I47</f>
        <v>368602</v>
      </c>
      <c r="AS48" s="80">
        <f t="shared" si="33"/>
        <v>0.15871430431739381</v>
      </c>
      <c r="AT48" s="78"/>
      <c r="AU48" s="96" t="e">
        <f t="shared" si="34"/>
        <v>#REF!</v>
      </c>
      <c r="AV48" s="92">
        <f t="shared" si="36"/>
        <v>58502.409999999996</v>
      </c>
      <c r="AW48" s="92">
        <f t="shared" si="37"/>
        <v>368602</v>
      </c>
      <c r="AX48" s="93">
        <f t="shared" si="35"/>
        <v>0.15871430431739381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449951.55999999982</v>
      </c>
      <c r="I50" s="102">
        <f>SUM(I34:I49)</f>
        <v>4126352.84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568924.32999999996</v>
      </c>
      <c r="N50" s="102">
        <f>SUM(N34:N48)</f>
        <v>5286834.76</v>
      </c>
      <c r="O50" s="103">
        <f>IF(N50=0,"",M50/N50)</f>
        <v>0.10761152103796791</v>
      </c>
      <c r="P50" s="101"/>
      <c r="Q50" s="102" t="e">
        <f>SUM(Q34:Q49)</f>
        <v>#REF!</v>
      </c>
      <c r="R50" s="102">
        <f>SUM(R34:R49)</f>
        <v>432717.09000000008</v>
      </c>
      <c r="S50" s="102">
        <f>SUM(S34:S49)</f>
        <v>4113267.0300000003</v>
      </c>
      <c r="T50" s="103">
        <f>IF(S50=0,"",R50/S50)</f>
        <v>0.10520033998376227</v>
      </c>
      <c r="U50" s="77"/>
      <c r="V50" s="102" t="e">
        <f>SUM(V34:V49)</f>
        <v>#REF!</v>
      </c>
      <c r="W50" s="102">
        <f>SUM(W34:W49)</f>
        <v>429535.65</v>
      </c>
      <c r="X50" s="102">
        <f>SUM(X34:X49)</f>
        <v>3987161.8899999997</v>
      </c>
      <c r="Y50" s="103">
        <f>IF(X50=0,"",W50/X50)</f>
        <v>0.10772967385079016</v>
      </c>
      <c r="Z50" s="78"/>
      <c r="AA50" s="102" t="e">
        <f>SUM(AA34:AA49)</f>
        <v>#REF!</v>
      </c>
      <c r="AB50" s="102">
        <f>SUM(AB34:AB49)</f>
        <v>583175.41</v>
      </c>
      <c r="AC50" s="102">
        <f>SUM(AC34:AC49)</f>
        <v>4542224.13</v>
      </c>
      <c r="AD50" s="103">
        <f>IF(AC50=0,"",AB50/AC50)</f>
        <v>0.12838983575211646</v>
      </c>
      <c r="AE50" s="78"/>
      <c r="AF50" s="102">
        <f>SUM(AF34:AF49)</f>
        <v>0</v>
      </c>
      <c r="AG50" s="102">
        <f>SUM(AG34:AG49)</f>
        <v>648631.12000000011</v>
      </c>
      <c r="AH50" s="102">
        <f>SUM(AH34:AH49)</f>
        <v>5130936.0100000007</v>
      </c>
      <c r="AI50" s="103">
        <f>IF(AH50=0,"",AG50/AH50)</f>
        <v>0.12641574923870469</v>
      </c>
      <c r="AJ50" s="78"/>
      <c r="AK50" s="102" t="e">
        <f>SUM(AK34:AK49)</f>
        <v>#REF!</v>
      </c>
      <c r="AL50" s="102">
        <f>SUM(AL34:AL49)</f>
        <v>1708153.7899999993</v>
      </c>
      <c r="AM50" s="102">
        <f>SUM(AM34:AM49)</f>
        <v>12134747.450000001</v>
      </c>
      <c r="AN50" s="103">
        <f>IF(AM50=0,"",AL50/AM50)</f>
        <v>0.14076549982092945</v>
      </c>
      <c r="AO50" s="78"/>
      <c r="AP50" s="102" t="e">
        <f>SUM(AP34:AP49)</f>
        <v>#REF!</v>
      </c>
      <c r="AQ50" s="102">
        <f>SUM(AQ34:AQ49)</f>
        <v>909295.12</v>
      </c>
      <c r="AR50" s="102">
        <f>SUM(AR34:AR49)</f>
        <v>5629206.6200000001</v>
      </c>
      <c r="AS50" s="103">
        <f>IF(AR50=0,"",AQ50/AR50)</f>
        <v>0.16153166536281804</v>
      </c>
      <c r="AT50" s="78"/>
      <c r="AU50" s="102" t="e">
        <f>SUM(AU34:AU49)</f>
        <v>#REF!</v>
      </c>
      <c r="AV50" s="118">
        <f>SUM(AV34:AV49)</f>
        <v>5730384.0700000003</v>
      </c>
      <c r="AW50" s="118">
        <f>SUM(AW34:AW49)</f>
        <v>44950730.730000004</v>
      </c>
      <c r="AX50" s="119">
        <f>IF(AW50=0,"",AV50/AW50)</f>
        <v>0.1274814441709522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321085.03000000026</v>
      </c>
      <c r="I51" s="105">
        <f>I30-I50</f>
        <v>376232.16000000015</v>
      </c>
      <c r="J51" s="103">
        <v>0.59306458748519342</v>
      </c>
      <c r="K51" s="101"/>
      <c r="L51" s="105">
        <f>L30-L50</f>
        <v>-79418.789999999994</v>
      </c>
      <c r="M51" s="105">
        <f>M30-M50</f>
        <v>394835.68000000005</v>
      </c>
      <c r="N51" s="105">
        <f>N30-N50</f>
        <v>370652.24000000022</v>
      </c>
      <c r="O51" s="103">
        <f>IF(N51=0,"",M51/N51)</f>
        <v>1.0652456329415405</v>
      </c>
      <c r="P51" s="101"/>
      <c r="Q51" s="105" t="e">
        <f>Q30-Q50</f>
        <v>#REF!</v>
      </c>
      <c r="R51" s="105">
        <f>R30-R50</f>
        <v>279765.94999999995</v>
      </c>
      <c r="S51" s="105">
        <f>S30-S50</f>
        <v>103464.96999999974</v>
      </c>
      <c r="T51" s="103">
        <f>IF(S51=0,"",R51/S51)</f>
        <v>2.7039678260188027</v>
      </c>
      <c r="U51" s="77"/>
      <c r="V51" s="105" t="e">
        <f>V30-V50</f>
        <v>#REF!</v>
      </c>
      <c r="W51" s="105">
        <f>W30-W50</f>
        <v>267260.83999999997</v>
      </c>
      <c r="X51" s="105">
        <f>X30-X50</f>
        <v>3102.1100000003353</v>
      </c>
      <c r="Y51" s="103">
        <f>IF(X51=0,"",W51/X51)</f>
        <v>86.154533527170571</v>
      </c>
      <c r="Z51" s="78"/>
      <c r="AA51" s="105" t="e">
        <f>AA30-AA50</f>
        <v>#REF!</v>
      </c>
      <c r="AB51" s="105">
        <f>AB30-AB50</f>
        <v>336740.59000000008</v>
      </c>
      <c r="AC51" s="105">
        <f>AC30-AC50</f>
        <v>846451.87000000011</v>
      </c>
      <c r="AD51" s="103">
        <f>IF(AC51=0,"",AB51/AC51)</f>
        <v>0.397826033510919</v>
      </c>
      <c r="AE51" s="78"/>
      <c r="AF51" s="105">
        <f>AF30-AF50</f>
        <v>0</v>
      </c>
      <c r="AG51" s="105">
        <f>AG30-AG50</f>
        <v>446342.34999999986</v>
      </c>
      <c r="AH51" s="105">
        <f>AH30-AH50</f>
        <v>975299.98999999929</v>
      </c>
      <c r="AI51" s="103">
        <f>IF(AH51=0,"",AG51/AH51)</f>
        <v>0.45764621611449025</v>
      </c>
      <c r="AJ51" s="78"/>
      <c r="AK51" s="105" t="e">
        <f>AK30-AK50</f>
        <v>#REF!</v>
      </c>
      <c r="AL51" s="105">
        <f>AL30-AL50</f>
        <v>500092.17000000062</v>
      </c>
      <c r="AM51" s="105">
        <f>AM30-AM50</f>
        <v>1193255.5499999989</v>
      </c>
      <c r="AN51" s="103">
        <f>IF(AM51=0,"",AL51/AM51)</f>
        <v>0.41909896836432153</v>
      </c>
      <c r="AO51" s="78"/>
      <c r="AP51" s="105" t="e">
        <f>AP30-AP50</f>
        <v>#REF!</v>
      </c>
      <c r="AQ51" s="105">
        <f>AQ30-AQ50</f>
        <v>-307679.47000000009</v>
      </c>
      <c r="AR51" s="105">
        <f>AR30-AR50</f>
        <v>-2359244.02</v>
      </c>
      <c r="AS51" s="103">
        <f>IF(AR51=0,"",AQ51/AR51)</f>
        <v>0.13041443250113657</v>
      </c>
      <c r="AT51" s="78"/>
      <c r="AU51" s="105" t="e">
        <f>AU30-AU50</f>
        <v>#REF!</v>
      </c>
      <c r="AV51" s="120">
        <f>AV30-AV50</f>
        <v>2238443.1399999997</v>
      </c>
      <c r="AW51" s="120">
        <f>AW30-AW50</f>
        <v>1509214.8699999973</v>
      </c>
      <c r="AX51" s="119">
        <f>IF(AW51=0,"",AV51/AW51)</f>
        <v>1.4831838623482445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0</v>
      </c>
      <c r="I54" s="110">
        <v>50176</v>
      </c>
      <c r="J54" s="80">
        <v>0</v>
      </c>
      <c r="K54" s="101"/>
      <c r="L54" s="109">
        <v>0</v>
      </c>
      <c r="M54" s="109">
        <f>'1361'!H56</f>
        <v>0</v>
      </c>
      <c r="N54" s="110">
        <f>'1361'!I56</f>
        <v>195164</v>
      </c>
      <c r="O54" s="80">
        <f>IF(N54=0,"%",M54/N54)</f>
        <v>0</v>
      </c>
      <c r="P54" s="101"/>
      <c r="Q54" s="109" t="e">
        <f>G54+L54+#REF!</f>
        <v>#REF!</v>
      </c>
      <c r="R54" s="109">
        <f>'1401'!H56</f>
        <v>5865</v>
      </c>
      <c r="S54" s="110">
        <f>'1401'!I56</f>
        <v>362770</v>
      </c>
      <c r="T54" s="80">
        <f>IF(S54=0,"%",R54/S54)</f>
        <v>1.6167268517242331E-2</v>
      </c>
      <c r="U54" s="77"/>
      <c r="V54" s="78"/>
      <c r="W54" s="109">
        <f>'1421'!H56</f>
        <v>0</v>
      </c>
      <c r="X54" s="110">
        <f>'1421'!I56</f>
        <v>381635.22</v>
      </c>
      <c r="Y54" s="80">
        <f>IF(X54=0,"%",W54/X54)</f>
        <v>0</v>
      </c>
      <c r="Z54" s="78"/>
      <c r="AA54" s="78"/>
      <c r="AB54" s="109">
        <f>'1601'!H56</f>
        <v>0</v>
      </c>
      <c r="AC54" s="110">
        <f>'1601'!I56</f>
        <v>91417.2</v>
      </c>
      <c r="AD54" s="80">
        <f>IF(AC54=0,"%",AB54/AC54)</f>
        <v>0</v>
      </c>
      <c r="AE54" s="78"/>
      <c r="AF54" s="109">
        <f>'1401'!V56</f>
        <v>0</v>
      </c>
      <c r="AG54" s="109">
        <f>'1621'!H57</f>
        <v>0</v>
      </c>
      <c r="AH54" s="110">
        <f>'1621'!I57</f>
        <v>24732</v>
      </c>
      <c r="AI54" s="80">
        <f>IF(AH54=0,"%",AG54/AH54)</f>
        <v>0</v>
      </c>
      <c r="AJ54" s="78"/>
      <c r="AK54" s="78"/>
      <c r="AL54" s="109">
        <f>'1721'!H56</f>
        <v>0</v>
      </c>
      <c r="AM54" s="110">
        <f>'1721'!I56</f>
        <v>269220</v>
      </c>
      <c r="AN54" s="80">
        <f>IF(AM54=0,"%",AL54/AM54)</f>
        <v>0</v>
      </c>
      <c r="AO54" s="78"/>
      <c r="AP54" s="78"/>
      <c r="AQ54" s="109">
        <f>'9000'!H54</f>
        <v>662328.91</v>
      </c>
      <c r="AR54" s="110">
        <f>'9000'!I54</f>
        <v>2346817.64</v>
      </c>
      <c r="AS54" s="80">
        <f>IF(AR54=0,"%",AQ54/AR54)</f>
        <v>0.28222427627568031</v>
      </c>
      <c r="AT54" s="78"/>
      <c r="AU54" s="78"/>
      <c r="AV54" s="122">
        <f>H54+M54+R54+W54+AB54+AG54+AL54++AQ54</f>
        <v>668193.91</v>
      </c>
      <c r="AW54" s="122">
        <f>I54+N54+S54+X54+AC54+AH54+AM54++AR54</f>
        <v>3721932.06</v>
      </c>
      <c r="AX54" s="93">
        <f>IF(AW54=0,"%",AV54/AW54)</f>
        <v>0.17952877678266915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86856.81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106433.91</v>
      </c>
      <c r="N55" s="110">
        <f>'1361'!I57</f>
        <v>565816.25</v>
      </c>
      <c r="O55" s="80">
        <f>IF(N55=0,"%",M55/N55)</f>
        <v>0.18810684564114233</v>
      </c>
      <c r="P55" s="101"/>
      <c r="Q55" s="109" t="e">
        <f>G55+L55+#REF!</f>
        <v>#REF!</v>
      </c>
      <c r="R55" s="109">
        <f>'1401'!H57</f>
        <v>72793.440000000002</v>
      </c>
      <c r="S55" s="110">
        <f>'1401'!I57</f>
        <v>466235</v>
      </c>
      <c r="T55" s="80">
        <f>IF(S55=0,"%",R55/S55)</f>
        <v>0.15613036344332795</v>
      </c>
      <c r="U55" s="77"/>
      <c r="V55" s="78"/>
      <c r="W55" s="109">
        <f>'1421'!H57</f>
        <v>72968.45</v>
      </c>
      <c r="X55" s="110">
        <f>'1421'!I57</f>
        <v>384737.29000000004</v>
      </c>
      <c r="Y55" s="80">
        <f>IF(X55=0,"%",W55/X55)</f>
        <v>0.18965785718353423</v>
      </c>
      <c r="Z55" s="78"/>
      <c r="AA55" s="78"/>
      <c r="AB55" s="109">
        <f>'1601'!H57</f>
        <v>132236.09</v>
      </c>
      <c r="AC55" s="110">
        <f>'1601'!I57</f>
        <v>937869.07</v>
      </c>
      <c r="AD55" s="80">
        <f>IF(AC55=0,"%",AB55/AC55)</f>
        <v>0.14099632265301168</v>
      </c>
      <c r="AE55" s="78"/>
      <c r="AF55" s="109">
        <f>'1401'!V57</f>
        <v>37699.39</v>
      </c>
      <c r="AG55" s="109">
        <f>'1621'!H58</f>
        <v>130515.06999999999</v>
      </c>
      <c r="AH55" s="110">
        <f>'1621'!I58</f>
        <v>1000032</v>
      </c>
      <c r="AI55" s="80">
        <f>IF(AH55=0,"%",AG55/AH55)</f>
        <v>0.13051089365140314</v>
      </c>
      <c r="AJ55" s="78"/>
      <c r="AK55" s="78"/>
      <c r="AL55" s="109">
        <f>'1721'!H57</f>
        <v>283990.67</v>
      </c>
      <c r="AM55" s="110">
        <f>'1721'!I57</f>
        <v>1587610</v>
      </c>
      <c r="AN55" s="80">
        <f>IF(AM55=0,"%",AL55/AM55)</f>
        <v>0.17887936583921743</v>
      </c>
      <c r="AO55" s="78"/>
      <c r="AP55" s="78"/>
      <c r="AQ55" s="109">
        <f>'9000'!H55</f>
        <v>0</v>
      </c>
      <c r="AR55" s="110">
        <f>'9000'!I55</f>
        <v>27574</v>
      </c>
      <c r="AS55" s="80">
        <f>IF(AR55=0,"%",AQ55/AR55)</f>
        <v>0</v>
      </c>
      <c r="AT55" s="78"/>
      <c r="AU55" s="78"/>
      <c r="AV55" s="122">
        <f>H55+M55+R55+W55+AB55+AG55+AL55++AQ55</f>
        <v>885794.44</v>
      </c>
      <c r="AW55" s="122">
        <f>I55+N55+S55+X55+AC55+AH55+AM55++AR55</f>
        <v>5540428.4100000001</v>
      </c>
      <c r="AX55" s="93">
        <f>IF(AW55=0,"%",AV55/AW55)</f>
        <v>0.15987832969761268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-86856.81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-106433.91</v>
      </c>
      <c r="N56" s="102">
        <f>SUM(N54:N55)</f>
        <v>760980.25</v>
      </c>
      <c r="O56" s="103">
        <f>IF(N56=0,"",M56/N56)</f>
        <v>-0.13986422118051028</v>
      </c>
      <c r="P56" s="101"/>
      <c r="Q56" s="102" t="e">
        <f>SUM(Q54:Q55)</f>
        <v>#REF!</v>
      </c>
      <c r="R56" s="102">
        <f>R54-R55</f>
        <v>-66928.44</v>
      </c>
      <c r="S56" s="102">
        <f>SUM(S54:S55)</f>
        <v>829005</v>
      </c>
      <c r="T56" s="103">
        <f>IF(S56=0,"",R56/S56)</f>
        <v>-8.0733457578663584E-2</v>
      </c>
      <c r="U56" s="77"/>
      <c r="V56" s="78"/>
      <c r="W56" s="102">
        <f>W54-W55</f>
        <v>-72968.45</v>
      </c>
      <c r="X56" s="102">
        <f>SUM(X54:X55)</f>
        <v>766372.51</v>
      </c>
      <c r="Y56" s="103">
        <f>IF(X56=0,"",W56/X56)</f>
        <v>-9.5212770614645351E-2</v>
      </c>
      <c r="Z56" s="78"/>
      <c r="AA56" s="78"/>
      <c r="AB56" s="102">
        <f>AB54-AB55</f>
        <v>-132236.09</v>
      </c>
      <c r="AC56" s="102">
        <f>SUM(AC54:AC55)</f>
        <v>1029286.2699999999</v>
      </c>
      <c r="AD56" s="103">
        <f>IF(AC56=0,"",AB56/AC56)</f>
        <v>-0.12847357810378643</v>
      </c>
      <c r="AE56" s="78"/>
      <c r="AF56" s="102">
        <f>AF54-AF55</f>
        <v>-37699.39</v>
      </c>
      <c r="AG56" s="102">
        <f>AG54-AG55</f>
        <v>-130515.06999999999</v>
      </c>
      <c r="AH56" s="102">
        <f>SUM(AH54:AH55)</f>
        <v>1024764</v>
      </c>
      <c r="AI56" s="103">
        <f>IF(AH56=0,"",AG56/AH56)</f>
        <v>-0.12736109972637602</v>
      </c>
      <c r="AJ56" s="78"/>
      <c r="AK56" s="78"/>
      <c r="AL56" s="102">
        <f>AL54-AL55</f>
        <v>-283990.67</v>
      </c>
      <c r="AM56" s="102">
        <f>SUM(AM54:AM55)</f>
        <v>1856830</v>
      </c>
      <c r="AN56" s="103">
        <f>IF(AM56=0,"",AL56/AM56)</f>
        <v>-0.15294381822783992</v>
      </c>
      <c r="AO56" s="78"/>
      <c r="AP56" s="78"/>
      <c r="AQ56" s="102">
        <f>AQ54-AQ55</f>
        <v>662328.91</v>
      </c>
      <c r="AR56" s="102">
        <f>SUM(AR54:AR55)</f>
        <v>2374391.64</v>
      </c>
      <c r="AS56" s="103">
        <f>IF(AR56=0,"",AQ56/AR56)</f>
        <v>0.278946783185271</v>
      </c>
      <c r="AT56" s="78"/>
      <c r="AU56" s="78"/>
      <c r="AV56" s="118">
        <f>AV54-AV55</f>
        <v>-217600.52999999991</v>
      </c>
      <c r="AW56" s="118">
        <f>SUM(AW54:AW55)</f>
        <v>9262360.4700000007</v>
      </c>
      <c r="AX56" s="119">
        <f>IF(AW56=0,"",AV56/AW56)</f>
        <v>-2.3492988715434857E-2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234228.22000000026</v>
      </c>
      <c r="I58" s="113"/>
      <c r="J58" s="114" t="s">
        <v>96</v>
      </c>
      <c r="K58" s="113"/>
      <c r="L58" s="113"/>
      <c r="M58" s="113">
        <f>M51+M56</f>
        <v>288401.77</v>
      </c>
      <c r="N58" s="113"/>
      <c r="O58" s="113"/>
      <c r="P58" s="113"/>
      <c r="Q58" s="113"/>
      <c r="R58" s="113">
        <f>R51+R56</f>
        <v>212837.50999999995</v>
      </c>
      <c r="S58" s="113"/>
      <c r="T58" s="114" t="str">
        <f>IF(S58=0,"",R58/S58)</f>
        <v/>
      </c>
      <c r="U58" s="112"/>
      <c r="V58" s="112"/>
      <c r="W58" s="115">
        <f>W51+W56</f>
        <v>194292.38999999996</v>
      </c>
      <c r="X58" s="112"/>
      <c r="Y58" s="112"/>
      <c r="Z58" s="112"/>
      <c r="AA58" s="112"/>
      <c r="AB58" s="115">
        <f>AB51+AB56</f>
        <v>204504.50000000009</v>
      </c>
      <c r="AC58" s="112"/>
      <c r="AD58" s="112"/>
      <c r="AE58" s="112"/>
      <c r="AF58" s="112"/>
      <c r="AG58" s="115">
        <f>AG51+AG56</f>
        <v>315827.27999999985</v>
      </c>
      <c r="AH58" s="112"/>
      <c r="AI58" s="112"/>
      <c r="AJ58" s="112"/>
      <c r="AK58" s="112"/>
      <c r="AL58" s="115">
        <f>AL51+AL56</f>
        <v>216101.50000000064</v>
      </c>
      <c r="AM58" s="112"/>
      <c r="AN58" s="112"/>
      <c r="AO58" s="112"/>
      <c r="AP58" s="112"/>
      <c r="AQ58" s="115">
        <f>AQ51+AQ56</f>
        <v>354649.43999999994</v>
      </c>
      <c r="AR58" s="112"/>
      <c r="AS58" s="112"/>
      <c r="AT58" s="112"/>
      <c r="AU58" s="112"/>
      <c r="AV58" s="123">
        <f>AV51+AV56</f>
        <v>2020842.6099999999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116"/>
      <c r="AW59" s="78"/>
      <c r="AX59" s="78" t="s">
        <v>103</v>
      </c>
    </row>
  </sheetData>
  <mergeCells count="22"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  <mergeCell ref="Q8:T8"/>
    <mergeCell ref="V8:Y8"/>
    <mergeCell ref="AA8:AD8"/>
    <mergeCell ref="G9:J9"/>
    <mergeCell ref="L9:O9"/>
    <mergeCell ref="Q9:T9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'1351'!Print_Area</vt:lpstr>
      <vt:lpstr>'1361'!Print_Area</vt:lpstr>
      <vt:lpstr>'1401'!Print_Area</vt:lpstr>
      <vt:lpstr>'1421'!Print_Area</vt:lpstr>
      <vt:lpstr>'1601'!Print_Area</vt:lpstr>
      <vt:lpstr>'1621'!Print_Area</vt:lpstr>
      <vt:lpstr>'1721'!Print_Area</vt:lpstr>
      <vt:lpstr>'9000'!Print_Area</vt:lpstr>
      <vt:lpstr>'Consolidated Federal (420)'!Print_Area</vt:lpstr>
      <vt:lpstr>'Consolidated General'!Print_Area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2025-07-24T20:13:26Z</cp:lastPrinted>
  <dcterms:created xsi:type="dcterms:W3CDTF">2022-11-03T13:00:31Z</dcterms:created>
  <dcterms:modified xsi:type="dcterms:W3CDTF">2025-10-22T17:53:49Z</dcterms:modified>
</cp:coreProperties>
</file>